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bvmm\Dropbox\Berts Files\Work in DROPBOX\CoSeT\GitHub Version\Sample Data\Sample 25P 10M 3C 4R\"/>
    </mc:Choice>
  </mc:AlternateContent>
  <xr:revisionPtr revIDLastSave="0" documentId="13_ncr:1_{B842CA41-0D44-424E-82B6-11B8F85C4FE2}" xr6:coauthVersionLast="46" xr6:coauthVersionMax="46" xr10:uidLastSave="{00000000-0000-0000-0000-000000000000}"/>
  <bookViews>
    <workbookView xWindow="-120" yWindow="-120" windowWidth="29040" windowHeight="15840" tabRatio="800" firstSheet="2" activeTab="10" xr2:uid="{64A89E45-6D96-461E-82DA-D90199A08C14}"/>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Analysis Chart" sheetId="21" r:id="rId13"/>
    <sheet name="Expertise by Projects - Instr." sheetId="13" state="hidden" r:id="rId14"/>
    <sheet name="Expertise by Keywords - Instr." sheetId="14" state="hidden" r:id="rId15"/>
    <sheet name="Marker Project - template" sheetId="15" state="hidden" r:id="rId16"/>
    <sheet name="Marker Keyword - template" sheetId="16" state="hidden" r:id="rId17"/>
    <sheet name="Instructions to Markers" sheetId="17" state="hidden" r:id="rId18"/>
    <sheet name="Scores and Comments - template" sheetId="18" state="hidden" r:id="rId19"/>
    <sheet name="Marker Scoresheet - template" sheetId="19" state="hidden" r:id="rId20"/>
    <sheet name="Project Comments - template" sheetId="20" state="hidden" r:id="rId21"/>
  </sheets>
  <definedNames>
    <definedName name="_xlnm._FilterDatabase" localSheetId="8" hidden="1">'Expertise Crosswalk'!$N$1:$N$31</definedName>
    <definedName name="_xlnm._FilterDatabase" localSheetId="16" hidden="1">'Marker Keyword - template'!$C$1:$C$12</definedName>
    <definedName name="_xlnm._FilterDatabase" localSheetId="15"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2" l="1"/>
  <c r="L4" i="12"/>
  <c r="R4" i="12"/>
  <c r="X4" i="12" s="1"/>
  <c r="M19" i="12"/>
  <c r="R19" i="12"/>
  <c r="W19" i="12" s="1"/>
  <c r="J23" i="12"/>
  <c r="L23" i="12"/>
  <c r="M23" i="12"/>
  <c r="R23" i="12"/>
  <c r="X23" i="12" s="1"/>
  <c r="I17" i="12"/>
  <c r="L17" i="12"/>
  <c r="M17" i="12"/>
  <c r="R17" i="12"/>
  <c r="U17" i="12" s="1"/>
  <c r="H18" i="12"/>
  <c r="J18" i="12"/>
  <c r="L18" i="12"/>
  <c r="M18" i="12"/>
  <c r="R18" i="12"/>
  <c r="T18" i="12" s="1"/>
  <c r="W18" i="12"/>
  <c r="H12" i="12"/>
  <c r="I12" i="12"/>
  <c r="J12" i="12"/>
  <c r="K12" i="12" s="1"/>
  <c r="L12" i="12"/>
  <c r="M12" i="12"/>
  <c r="R12" i="12"/>
  <c r="S12" i="12" s="1"/>
  <c r="H10" i="12"/>
  <c r="I10" i="12"/>
  <c r="J10" i="12"/>
  <c r="K10" i="12" s="1"/>
  <c r="L10" i="12"/>
  <c r="M10" i="12"/>
  <c r="R10" i="12"/>
  <c r="S10" i="12" s="1"/>
  <c r="M15" i="12"/>
  <c r="H15" i="12"/>
  <c r="L22" i="12"/>
  <c r="M25" i="12"/>
  <c r="R25" i="12"/>
  <c r="W25" i="12" s="1"/>
  <c r="J9" i="12"/>
  <c r="L9" i="12"/>
  <c r="M9" i="12"/>
  <c r="R9" i="12"/>
  <c r="X9" i="12" s="1"/>
  <c r="I20" i="12"/>
  <c r="L20" i="12"/>
  <c r="M20" i="12"/>
  <c r="R20" i="12"/>
  <c r="U20" i="12" s="1"/>
  <c r="H24" i="12"/>
  <c r="J24" i="12"/>
  <c r="L24" i="12"/>
  <c r="M24" i="12"/>
  <c r="R24" i="12"/>
  <c r="T24" i="12" s="1"/>
  <c r="X24" i="12"/>
  <c r="H8" i="12"/>
  <c r="I8" i="12"/>
  <c r="K8" i="12" s="1"/>
  <c r="J8" i="12"/>
  <c r="L8" i="12"/>
  <c r="M8" i="12"/>
  <c r="R8" i="12"/>
  <c r="S8" i="12" s="1"/>
  <c r="H5" i="12"/>
  <c r="I5" i="12"/>
  <c r="J5" i="12"/>
  <c r="L5" i="12"/>
  <c r="M5" i="12"/>
  <c r="R5" i="12"/>
  <c r="S5" i="12" s="1"/>
  <c r="M21" i="12"/>
  <c r="H21" i="12"/>
  <c r="L6" i="12"/>
  <c r="M26" i="12"/>
  <c r="R26" i="12"/>
  <c r="W26" i="12" s="1"/>
  <c r="J7" i="12"/>
  <c r="L7" i="12"/>
  <c r="M7" i="12"/>
  <c r="R7" i="12"/>
  <c r="X7" i="12" s="1"/>
  <c r="I13" i="12"/>
  <c r="L13" i="12"/>
  <c r="M13" i="12"/>
  <c r="R13" i="12"/>
  <c r="U13" i="12" s="1"/>
  <c r="H16" i="12"/>
  <c r="J16" i="12"/>
  <c r="L16" i="12"/>
  <c r="M16" i="12"/>
  <c r="R16" i="12"/>
  <c r="T16" i="12" s="1"/>
  <c r="W16" i="12"/>
  <c r="H27" i="12"/>
  <c r="I27" i="12"/>
  <c r="J27" i="12"/>
  <c r="K27" i="12"/>
  <c r="L27" i="12"/>
  <c r="M27" i="12"/>
  <c r="R27" i="12"/>
  <c r="S27" i="12" s="1"/>
  <c r="H28" i="12"/>
  <c r="I28" i="12"/>
  <c r="J28" i="12"/>
  <c r="K28" i="12"/>
  <c r="L28" i="12"/>
  <c r="M28" i="12"/>
  <c r="R28" i="12"/>
  <c r="S28" i="12" s="1"/>
  <c r="T28" i="12"/>
  <c r="W28" i="12"/>
  <c r="X28" i="12"/>
  <c r="B15" i="20"/>
  <c r="D15" i="20" s="1"/>
  <c r="B11" i="20"/>
  <c r="D11" i="20"/>
  <c r="B22" i="18"/>
  <c r="D23" i="18" s="1"/>
  <c r="B17" i="18"/>
  <c r="D18" i="18" s="1"/>
  <c r="I5" i="19"/>
  <c r="J5" i="19"/>
  <c r="I6" i="19"/>
  <c r="J6" i="19"/>
  <c r="I7" i="19"/>
  <c r="J7" i="19"/>
  <c r="I9" i="19"/>
  <c r="J9" i="19"/>
  <c r="I10" i="19"/>
  <c r="J10" i="19"/>
  <c r="E5" i="19"/>
  <c r="E6" i="19" s="1"/>
  <c r="F5" i="19"/>
  <c r="F6" i="19" s="1"/>
  <c r="A3" i="16"/>
  <c r="B3" i="16"/>
  <c r="A4" i="16"/>
  <c r="B4" i="16"/>
  <c r="A5" i="16"/>
  <c r="B5" i="16"/>
  <c r="A6" i="16"/>
  <c r="B6" i="16"/>
  <c r="A7" i="16"/>
  <c r="B7" i="16"/>
  <c r="A8" i="16"/>
  <c r="B8" i="16"/>
  <c r="A9" i="16"/>
  <c r="B9" i="16"/>
  <c r="A10" i="16"/>
  <c r="B10" i="16"/>
  <c r="A11" i="16"/>
  <c r="B11" i="16"/>
  <c r="A12" i="16"/>
  <c r="B12" i="16"/>
  <c r="A3" i="15"/>
  <c r="B3" i="15"/>
  <c r="C3" i="15"/>
  <c r="D3" i="15"/>
  <c r="E3" i="15"/>
  <c r="F3" i="15"/>
  <c r="A4" i="15"/>
  <c r="B4" i="15"/>
  <c r="C4" i="15"/>
  <c r="D4" i="15"/>
  <c r="E4" i="15"/>
  <c r="F4" i="15"/>
  <c r="A5" i="15"/>
  <c r="B5" i="15"/>
  <c r="C5" i="15"/>
  <c r="D5" i="15"/>
  <c r="E5" i="15"/>
  <c r="F5" i="15"/>
  <c r="A6" i="15"/>
  <c r="B6" i="15"/>
  <c r="C6" i="15"/>
  <c r="D6" i="15"/>
  <c r="E6" i="15"/>
  <c r="F6" i="15"/>
  <c r="A7" i="15"/>
  <c r="B7" i="15"/>
  <c r="C7" i="15"/>
  <c r="D7" i="15"/>
  <c r="E7" i="15"/>
  <c r="F7" i="15"/>
  <c r="A8" i="15"/>
  <c r="B8" i="15"/>
  <c r="C8" i="15"/>
  <c r="D8" i="15"/>
  <c r="E8" i="15"/>
  <c r="F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B15" i="15"/>
  <c r="C15" i="15"/>
  <c r="D15" i="15"/>
  <c r="E15" i="15"/>
  <c r="F15" i="15"/>
  <c r="A16" i="15"/>
  <c r="B16" i="15"/>
  <c r="C16" i="15"/>
  <c r="D16" i="15"/>
  <c r="E16" i="15"/>
  <c r="F16" i="15"/>
  <c r="A17" i="15"/>
  <c r="B17" i="15"/>
  <c r="C17" i="15"/>
  <c r="D17" i="15"/>
  <c r="E17" i="15"/>
  <c r="F17" i="15"/>
  <c r="A18" i="15"/>
  <c r="B18" i="15"/>
  <c r="C18" i="15"/>
  <c r="D18" i="15"/>
  <c r="E18" i="15"/>
  <c r="F18" i="15"/>
  <c r="A19" i="15"/>
  <c r="B19" i="15"/>
  <c r="C19" i="15"/>
  <c r="D19" i="15"/>
  <c r="E19" i="15"/>
  <c r="F19" i="15"/>
  <c r="A20" i="15"/>
  <c r="B20" i="15"/>
  <c r="C20" i="15"/>
  <c r="D20" i="15"/>
  <c r="E20" i="15"/>
  <c r="F20" i="15"/>
  <c r="A21" i="15"/>
  <c r="B21" i="15"/>
  <c r="C21" i="15"/>
  <c r="D21" i="15"/>
  <c r="E21" i="15"/>
  <c r="F21" i="15"/>
  <c r="A22" i="15"/>
  <c r="B22" i="15"/>
  <c r="C22" i="15"/>
  <c r="D22" i="15"/>
  <c r="E22" i="15"/>
  <c r="F22" i="15"/>
  <c r="A23" i="15"/>
  <c r="B23" i="15"/>
  <c r="C23" i="15"/>
  <c r="D23" i="15"/>
  <c r="E23" i="15"/>
  <c r="F23" i="15"/>
  <c r="A24" i="15"/>
  <c r="B24" i="15"/>
  <c r="C24" i="15"/>
  <c r="D24" i="15"/>
  <c r="E24" i="15"/>
  <c r="F24" i="15"/>
  <c r="A25" i="15"/>
  <c r="B25" i="15"/>
  <c r="C25" i="15"/>
  <c r="D25" i="15"/>
  <c r="E25" i="15"/>
  <c r="F25" i="15"/>
  <c r="A26" i="15"/>
  <c r="B26" i="15"/>
  <c r="C26" i="15"/>
  <c r="D26" i="15"/>
  <c r="E26" i="15"/>
  <c r="F26" i="15"/>
  <c r="W6" i="11"/>
  <c r="X6" i="11"/>
  <c r="Z6" i="11"/>
  <c r="AA6" i="11"/>
  <c r="W7" i="11"/>
  <c r="X7" i="11"/>
  <c r="Z7" i="11"/>
  <c r="AA7" i="11"/>
  <c r="W8" i="11"/>
  <c r="X8" i="11"/>
  <c r="Z8" i="11"/>
  <c r="AA8" i="11"/>
  <c r="W9" i="11"/>
  <c r="X9" i="11"/>
  <c r="Z9" i="11"/>
  <c r="AA9" i="11"/>
  <c r="W10" i="11"/>
  <c r="X10" i="11"/>
  <c r="Z10" i="11"/>
  <c r="AA10" i="11"/>
  <c r="W11" i="11"/>
  <c r="X11" i="11"/>
  <c r="Z11" i="11"/>
  <c r="AA11" i="11"/>
  <c r="W12" i="11"/>
  <c r="X12" i="11"/>
  <c r="Z12" i="11"/>
  <c r="AA12" i="11"/>
  <c r="W13" i="11"/>
  <c r="X13" i="11"/>
  <c r="Z13" i="11"/>
  <c r="AA13" i="11"/>
  <c r="W14" i="11"/>
  <c r="X14" i="11"/>
  <c r="Z14" i="11"/>
  <c r="AA14" i="11"/>
  <c r="W15" i="11"/>
  <c r="X15" i="11"/>
  <c r="Z15" i="11"/>
  <c r="AA15" i="11"/>
  <c r="W16" i="11"/>
  <c r="X16" i="11"/>
  <c r="Z16" i="11"/>
  <c r="AA16" i="11"/>
  <c r="W17" i="11"/>
  <c r="X17" i="11"/>
  <c r="Z17" i="11"/>
  <c r="AA17" i="11"/>
  <c r="W18" i="11"/>
  <c r="X18" i="11"/>
  <c r="Z18" i="11"/>
  <c r="AA18" i="11"/>
  <c r="W19" i="11"/>
  <c r="X19" i="11"/>
  <c r="Z19" i="11"/>
  <c r="AA19" i="11"/>
  <c r="W20" i="11"/>
  <c r="X20" i="11"/>
  <c r="Z20" i="11"/>
  <c r="AA20" i="11"/>
  <c r="W21" i="11"/>
  <c r="X21" i="11"/>
  <c r="Z21" i="11"/>
  <c r="AA21" i="11"/>
  <c r="W22" i="11"/>
  <c r="X22" i="11"/>
  <c r="Z22" i="11"/>
  <c r="AA22" i="11"/>
  <c r="W23" i="11"/>
  <c r="X23" i="11"/>
  <c r="Z23" i="11"/>
  <c r="AA23" i="11"/>
  <c r="W24" i="11"/>
  <c r="X24" i="11"/>
  <c r="Z24" i="11"/>
  <c r="AA24" i="11"/>
  <c r="W25" i="11"/>
  <c r="X25" i="11"/>
  <c r="Z25" i="11"/>
  <c r="AA25" i="11"/>
  <c r="W26" i="11"/>
  <c r="X26" i="11"/>
  <c r="Z26" i="11"/>
  <c r="AA26" i="11"/>
  <c r="W27" i="11"/>
  <c r="X27" i="11"/>
  <c r="Z27" i="11"/>
  <c r="AA27" i="11"/>
  <c r="W28" i="11"/>
  <c r="X28" i="11"/>
  <c r="Z28" i="11"/>
  <c r="AA28" i="11"/>
  <c r="W29" i="11"/>
  <c r="X29" i="11"/>
  <c r="Z29" i="11"/>
  <c r="AA29" i="11"/>
  <c r="W30" i="11"/>
  <c r="X30" i="11"/>
  <c r="Z30" i="11"/>
  <c r="AA30" i="11"/>
  <c r="W31" i="11"/>
  <c r="X31" i="11"/>
  <c r="Z31" i="11"/>
  <c r="AA31" i="11"/>
  <c r="W32" i="11"/>
  <c r="X32" i="11"/>
  <c r="Z32" i="11"/>
  <c r="AA32" i="11"/>
  <c r="W33" i="11"/>
  <c r="X33" i="11"/>
  <c r="Z33" i="11"/>
  <c r="AA33" i="11"/>
  <c r="W34" i="11"/>
  <c r="X34" i="11"/>
  <c r="Z34" i="11"/>
  <c r="AA34" i="11"/>
  <c r="W35" i="11"/>
  <c r="X35" i="11"/>
  <c r="Z35" i="11"/>
  <c r="AA35" i="11"/>
  <c r="W36" i="11"/>
  <c r="X36" i="11"/>
  <c r="Z36" i="11"/>
  <c r="AA36" i="11"/>
  <c r="W37" i="11"/>
  <c r="X37" i="11"/>
  <c r="Z37" i="11"/>
  <c r="AA37" i="11"/>
  <c r="W38" i="11"/>
  <c r="X38" i="11"/>
  <c r="Z38" i="11"/>
  <c r="AA38" i="11"/>
  <c r="W39" i="11"/>
  <c r="X39" i="11"/>
  <c r="Z39" i="11"/>
  <c r="AA39" i="11"/>
  <c r="W40" i="11"/>
  <c r="X40" i="11"/>
  <c r="Z40" i="11"/>
  <c r="AA40" i="11"/>
  <c r="W41" i="11"/>
  <c r="X41" i="11"/>
  <c r="Z41" i="11"/>
  <c r="AA41" i="11"/>
  <c r="W42" i="11"/>
  <c r="X42" i="11"/>
  <c r="Z42" i="11"/>
  <c r="AA42" i="11"/>
  <c r="W43" i="11"/>
  <c r="X43" i="11"/>
  <c r="Z43" i="11"/>
  <c r="AA43" i="11"/>
  <c r="W44" i="11"/>
  <c r="X44" i="11"/>
  <c r="Z44" i="11"/>
  <c r="AA44" i="11"/>
  <c r="W45" i="11"/>
  <c r="X45" i="11"/>
  <c r="Z45" i="11"/>
  <c r="AA45" i="11"/>
  <c r="W46" i="11"/>
  <c r="X46" i="11"/>
  <c r="Z46" i="11"/>
  <c r="AA46" i="11"/>
  <c r="W47" i="11"/>
  <c r="X47" i="11"/>
  <c r="Z47" i="11"/>
  <c r="AA47" i="11"/>
  <c r="W48" i="11"/>
  <c r="X48" i="11"/>
  <c r="Z48" i="11"/>
  <c r="AA48" i="11"/>
  <c r="W49" i="11"/>
  <c r="X49" i="11"/>
  <c r="Z49" i="11"/>
  <c r="AA49" i="11"/>
  <c r="W50" i="11"/>
  <c r="X50" i="11"/>
  <c r="Z50" i="11"/>
  <c r="AA50" i="11"/>
  <c r="W51" i="11"/>
  <c r="X51" i="11"/>
  <c r="Z51" i="11"/>
  <c r="AA51" i="11"/>
  <c r="W52" i="11"/>
  <c r="X52" i="11"/>
  <c r="Z52" i="11"/>
  <c r="AA52" i="11"/>
  <c r="W53" i="11"/>
  <c r="X53" i="11"/>
  <c r="Z53" i="11"/>
  <c r="AA53" i="11"/>
  <c r="W54" i="11"/>
  <c r="X54" i="11"/>
  <c r="Z54" i="11"/>
  <c r="AA54" i="11"/>
  <c r="W55" i="11"/>
  <c r="X55" i="11"/>
  <c r="Z55" i="11"/>
  <c r="AA55" i="11"/>
  <c r="W56" i="11"/>
  <c r="X56" i="11"/>
  <c r="Z56" i="11"/>
  <c r="AA56" i="11"/>
  <c r="W57" i="11"/>
  <c r="X57" i="11"/>
  <c r="Z57" i="11"/>
  <c r="AA57" i="11"/>
  <c r="W58" i="11"/>
  <c r="X58" i="11"/>
  <c r="Z58" i="11"/>
  <c r="AA58" i="11"/>
  <c r="W59" i="11"/>
  <c r="X59" i="11"/>
  <c r="Z59" i="11"/>
  <c r="AA59" i="11"/>
  <c r="W60" i="11"/>
  <c r="X60" i="11"/>
  <c r="Z60" i="11"/>
  <c r="AA60" i="11"/>
  <c r="W61" i="11"/>
  <c r="X61" i="11"/>
  <c r="Z61" i="11"/>
  <c r="AA61" i="11"/>
  <c r="W62" i="11"/>
  <c r="X62" i="11"/>
  <c r="Z62" i="11"/>
  <c r="AA62" i="11"/>
  <c r="W63" i="11"/>
  <c r="X63" i="11"/>
  <c r="Z63" i="11"/>
  <c r="AA63" i="11"/>
  <c r="W64" i="11"/>
  <c r="X64" i="11"/>
  <c r="Z64" i="11"/>
  <c r="AA64" i="11"/>
  <c r="W65" i="11"/>
  <c r="X65" i="11"/>
  <c r="Z65" i="11"/>
  <c r="AA65" i="11"/>
  <c r="W66" i="11"/>
  <c r="X66" i="11"/>
  <c r="Z66" i="11"/>
  <c r="AA66" i="11"/>
  <c r="W67" i="11"/>
  <c r="X67" i="11"/>
  <c r="Z67" i="11"/>
  <c r="AA67" i="11"/>
  <c r="W68" i="11"/>
  <c r="X68" i="11"/>
  <c r="Z68" i="11"/>
  <c r="AA68" i="11"/>
  <c r="W69" i="11"/>
  <c r="X69" i="11"/>
  <c r="Z69" i="11"/>
  <c r="AA69" i="11"/>
  <c r="W70" i="11"/>
  <c r="X70" i="11"/>
  <c r="Z70" i="11"/>
  <c r="AA70" i="11"/>
  <c r="W71" i="11"/>
  <c r="X71" i="11"/>
  <c r="Z71" i="11"/>
  <c r="AA71" i="11"/>
  <c r="W72" i="11"/>
  <c r="X72" i="11"/>
  <c r="Z72" i="11"/>
  <c r="AA72" i="11"/>
  <c r="W73" i="11"/>
  <c r="X73" i="11"/>
  <c r="Z73" i="11"/>
  <c r="AA73" i="11"/>
  <c r="W74" i="11"/>
  <c r="X74" i="11"/>
  <c r="Z74" i="11"/>
  <c r="AA74" i="11"/>
  <c r="W75" i="11"/>
  <c r="X75" i="11"/>
  <c r="Z75" i="11"/>
  <c r="AA75" i="11"/>
  <c r="W76" i="11"/>
  <c r="X76" i="11"/>
  <c r="Z76" i="11"/>
  <c r="AA76" i="11"/>
  <c r="W77" i="11"/>
  <c r="X77" i="11"/>
  <c r="Z77" i="11"/>
  <c r="AA77" i="11"/>
  <c r="W78" i="11"/>
  <c r="X78" i="11"/>
  <c r="Z78" i="11"/>
  <c r="AA78" i="11"/>
  <c r="W79" i="11"/>
  <c r="X79" i="11"/>
  <c r="Z79" i="11"/>
  <c r="AA79" i="11"/>
  <c r="W80" i="11"/>
  <c r="X80" i="11"/>
  <c r="Z80" i="11"/>
  <c r="AA80" i="11"/>
  <c r="W81" i="11"/>
  <c r="X81" i="11"/>
  <c r="Z81" i="11"/>
  <c r="AA81" i="11"/>
  <c r="W82" i="11"/>
  <c r="X82" i="11"/>
  <c r="Z82" i="11"/>
  <c r="AA82" i="11"/>
  <c r="W83" i="11"/>
  <c r="X83" i="11"/>
  <c r="Z83" i="11"/>
  <c r="AA83" i="11"/>
  <c r="W84" i="11"/>
  <c r="X84" i="11"/>
  <c r="Z84" i="11"/>
  <c r="AA84" i="11"/>
  <c r="W85" i="11"/>
  <c r="X85" i="11"/>
  <c r="Z85" i="11"/>
  <c r="AA85" i="11"/>
  <c r="W86" i="11"/>
  <c r="X86" i="11"/>
  <c r="Z86" i="11"/>
  <c r="AA86" i="11"/>
  <c r="W87" i="11"/>
  <c r="X87" i="11"/>
  <c r="Z87" i="11"/>
  <c r="AA87" i="11"/>
  <c r="W88" i="11"/>
  <c r="X88" i="11"/>
  <c r="Z88" i="11"/>
  <c r="AA88" i="11"/>
  <c r="W89" i="11"/>
  <c r="X89" i="11"/>
  <c r="Z89" i="11"/>
  <c r="AA89" i="11"/>
  <c r="W90" i="11"/>
  <c r="X90" i="11"/>
  <c r="Z90" i="11"/>
  <c r="AA90" i="11"/>
  <c r="W91" i="11"/>
  <c r="X91" i="11"/>
  <c r="Z91" i="11"/>
  <c r="AA91" i="11"/>
  <c r="W92" i="11"/>
  <c r="X92" i="11"/>
  <c r="Z92" i="11"/>
  <c r="AA92" i="11"/>
  <c r="W93" i="11"/>
  <c r="X93" i="11"/>
  <c r="Z93" i="11"/>
  <c r="AA93" i="11"/>
  <c r="W94" i="11"/>
  <c r="X94" i="11"/>
  <c r="Z94" i="11"/>
  <c r="AA94" i="11"/>
  <c r="W95" i="11"/>
  <c r="X95" i="11"/>
  <c r="Z95" i="11"/>
  <c r="AA95" i="11"/>
  <c r="W96" i="11"/>
  <c r="X96" i="11"/>
  <c r="Z96" i="11"/>
  <c r="AA96" i="11"/>
  <c r="W97" i="11"/>
  <c r="X97" i="11"/>
  <c r="Z97" i="11"/>
  <c r="AA97" i="11"/>
  <c r="W98" i="11"/>
  <c r="X98" i="11"/>
  <c r="Z98" i="11"/>
  <c r="AA98" i="11"/>
  <c r="W99" i="11"/>
  <c r="X99" i="11"/>
  <c r="Z99" i="11"/>
  <c r="AA99" i="11"/>
  <c r="W100" i="11"/>
  <c r="X100" i="11"/>
  <c r="Z100" i="11"/>
  <c r="AA100" i="11"/>
  <c r="W101" i="11"/>
  <c r="X101" i="11"/>
  <c r="Z101" i="11"/>
  <c r="AA101" i="11"/>
  <c r="W102" i="11"/>
  <c r="X102" i="11"/>
  <c r="Z102" i="11"/>
  <c r="AA102" i="11"/>
  <c r="W103" i="11"/>
  <c r="X103" i="11"/>
  <c r="Z103" i="11"/>
  <c r="AA103" i="11"/>
  <c r="W104" i="11"/>
  <c r="X104" i="11"/>
  <c r="Z104" i="11"/>
  <c r="AA104" i="11"/>
  <c r="L37" i="11"/>
  <c r="L27" i="11"/>
  <c r="L87" i="11"/>
  <c r="L38" i="11"/>
  <c r="L77" i="11"/>
  <c r="L17" i="11"/>
  <c r="L28" i="11"/>
  <c r="L78" i="11"/>
  <c r="L67" i="11"/>
  <c r="L57" i="11"/>
  <c r="L29" i="11"/>
  <c r="L68" i="11"/>
  <c r="L39" i="11"/>
  <c r="L30" i="11"/>
  <c r="L48" i="11"/>
  <c r="L94" i="11"/>
  <c r="L79" i="11"/>
  <c r="L58" i="11"/>
  <c r="L88" i="11"/>
  <c r="L95" i="11"/>
  <c r="L69" i="11"/>
  <c r="Y27" i="11"/>
  <c r="L59" i="11"/>
  <c r="Y28" i="11"/>
  <c r="L31" i="11"/>
  <c r="L70" i="11"/>
  <c r="L32" i="11"/>
  <c r="L60" i="11"/>
  <c r="L89" i="11"/>
  <c r="L40" i="11"/>
  <c r="L80" i="11"/>
  <c r="L96" i="11"/>
  <c r="L5" i="11"/>
  <c r="Y37" i="11"/>
  <c r="L33" i="11"/>
  <c r="Y38" i="11"/>
  <c r="L49" i="11"/>
  <c r="Y39" i="11"/>
  <c r="L18" i="11"/>
  <c r="Y40" i="11"/>
  <c r="L10" i="11"/>
  <c r="L71" i="11"/>
  <c r="Y42" i="11"/>
  <c r="L61" i="11"/>
  <c r="L50" i="11"/>
  <c r="L19" i="11"/>
  <c r="L81" i="11"/>
  <c r="L72" i="11"/>
  <c r="Y47" i="11"/>
  <c r="L62" i="11"/>
  <c r="Y48" i="11"/>
  <c r="L20" i="11"/>
  <c r="Y49" i="11"/>
  <c r="L63" i="11"/>
  <c r="Y50" i="11"/>
  <c r="L11" i="11"/>
  <c r="L51" i="11"/>
  <c r="Y52" i="11"/>
  <c r="L6" i="11"/>
  <c r="L64" i="11"/>
  <c r="L82" i="11"/>
  <c r="L41" i="11"/>
  <c r="L90" i="11"/>
  <c r="L83" i="11"/>
  <c r="Y58" i="11"/>
  <c r="L42" i="11"/>
  <c r="Y59" i="11"/>
  <c r="L52" i="11"/>
  <c r="Y60" i="11"/>
  <c r="L7" i="11"/>
  <c r="Y61" i="11"/>
  <c r="L43" i="11"/>
  <c r="Y62" i="11"/>
  <c r="L12" i="11"/>
  <c r="Y63" i="11"/>
  <c r="L21" i="11"/>
  <c r="L91" i="11"/>
  <c r="L84" i="11"/>
  <c r="L73" i="11"/>
  <c r="Y67" i="11"/>
  <c r="L53" i="11"/>
  <c r="Y68" i="11"/>
  <c r="L22" i="11"/>
  <c r="Y69" i="11"/>
  <c r="L44" i="11"/>
  <c r="Y70" i="11"/>
  <c r="L13" i="11"/>
  <c r="Y71" i="11"/>
  <c r="L34" i="11"/>
  <c r="Y72" i="11"/>
  <c r="L92" i="11"/>
  <c r="Y73" i="11"/>
  <c r="L14" i="11"/>
  <c r="Y74" i="11"/>
  <c r="L74" i="11"/>
  <c r="L85" i="11"/>
  <c r="Y76" i="11"/>
  <c r="L54" i="11"/>
  <c r="Y77" i="11"/>
  <c r="L35" i="11"/>
  <c r="Y78" i="11"/>
  <c r="L15" i="11"/>
  <c r="Y79" i="11"/>
  <c r="L23" i="11"/>
  <c r="Y80" i="11"/>
  <c r="L55" i="11"/>
  <c r="Y81" i="11"/>
  <c r="L24" i="11"/>
  <c r="Y82" i="11"/>
  <c r="L45" i="11"/>
  <c r="Y83" i="11"/>
  <c r="L65" i="11"/>
  <c r="Y84" i="11"/>
  <c r="L8" i="11"/>
  <c r="L16" i="11"/>
  <c r="L75" i="11"/>
  <c r="Y87" i="11"/>
  <c r="L36" i="11"/>
  <c r="Y88" i="11"/>
  <c r="L25" i="11"/>
  <c r="Y89" i="11"/>
  <c r="L76" i="11"/>
  <c r="Y90" i="11"/>
  <c r="L86" i="11"/>
  <c r="Y91" i="11"/>
  <c r="L66" i="11"/>
  <c r="Y92" i="11"/>
  <c r="L9" i="11"/>
  <c r="Y93" i="11"/>
  <c r="L26" i="11"/>
  <c r="Y94" i="11"/>
  <c r="L46" i="11"/>
  <c r="Y95" i="11"/>
  <c r="L56" i="11"/>
  <c r="Y96" i="11"/>
  <c r="L93" i="11"/>
  <c r="Y97" i="11"/>
  <c r="L97" i="11"/>
  <c r="Y98" i="11"/>
  <c r="L98" i="11"/>
  <c r="Y99" i="11"/>
  <c r="L99" i="11"/>
  <c r="Y100" i="11"/>
  <c r="L100" i="11"/>
  <c r="Y101" i="11"/>
  <c r="L101" i="11"/>
  <c r="Y102" i="11"/>
  <c r="L102" i="11"/>
  <c r="Y103" i="11"/>
  <c r="L103" i="11"/>
  <c r="Y104" i="11"/>
  <c r="L104" i="11"/>
  <c r="AD2" i="11"/>
  <c r="AK2" i="11" s="1"/>
  <c r="AE2" i="11"/>
  <c r="AL2" i="11" s="1"/>
  <c r="AD3" i="11"/>
  <c r="AK3" i="11" s="1"/>
  <c r="AE3" i="11"/>
  <c r="AL3" i="11" s="1"/>
  <c r="AD4" i="11"/>
  <c r="AK4" i="11" s="1"/>
  <c r="A8" i="9"/>
  <c r="B8" i="9" s="1"/>
  <c r="E8" i="9"/>
  <c r="F8" i="9"/>
  <c r="D8" i="9" s="1"/>
  <c r="I8" i="9"/>
  <c r="A9" i="9"/>
  <c r="B9" i="9" s="1"/>
  <c r="E9" i="9"/>
  <c r="F9" i="9"/>
  <c r="D9" i="9" s="1"/>
  <c r="I9" i="9"/>
  <c r="A10" i="9"/>
  <c r="B10" i="9"/>
  <c r="E10" i="9"/>
  <c r="F10" i="9"/>
  <c r="G10" i="9" s="1"/>
  <c r="H10" i="9" s="1"/>
  <c r="C10" i="9" s="1"/>
  <c r="I10" i="9"/>
  <c r="A11" i="9"/>
  <c r="B11" i="9" s="1"/>
  <c r="E11" i="9"/>
  <c r="F11" i="9"/>
  <c r="G11" i="9" s="1"/>
  <c r="H11" i="9" s="1"/>
  <c r="C11" i="9" s="1"/>
  <c r="I11" i="9"/>
  <c r="A12" i="9"/>
  <c r="B12" i="9"/>
  <c r="D12" i="9"/>
  <c r="E12" i="9"/>
  <c r="F12" i="9"/>
  <c r="G12" i="9" s="1"/>
  <c r="H12" i="9" s="1"/>
  <c r="C12" i="9" s="1"/>
  <c r="I12" i="9"/>
  <c r="A13" i="9"/>
  <c r="B13" i="9" s="1"/>
  <c r="E13" i="9"/>
  <c r="F13" i="9"/>
  <c r="D13" i="9" s="1"/>
  <c r="I13" i="9"/>
  <c r="A14" i="9"/>
  <c r="B14" i="9"/>
  <c r="E14" i="9"/>
  <c r="F14" i="9"/>
  <c r="D14" i="9" s="1"/>
  <c r="I14" i="9"/>
  <c r="A15" i="9"/>
  <c r="B15" i="9" s="1"/>
  <c r="E15" i="9"/>
  <c r="F15" i="9"/>
  <c r="D15" i="9" s="1"/>
  <c r="I15" i="9"/>
  <c r="A16" i="9"/>
  <c r="B16" i="9" s="1"/>
  <c r="E16" i="9"/>
  <c r="F16" i="9"/>
  <c r="G16" i="9" s="1"/>
  <c r="H16" i="9" s="1"/>
  <c r="C16" i="9" s="1"/>
  <c r="I16" i="9"/>
  <c r="A17" i="9"/>
  <c r="B17" i="9" s="1"/>
  <c r="E17" i="9"/>
  <c r="F17" i="9"/>
  <c r="D17" i="9" s="1"/>
  <c r="I17" i="9"/>
  <c r="A18" i="9"/>
  <c r="B18" i="9"/>
  <c r="E18" i="9"/>
  <c r="F18" i="9"/>
  <c r="G18" i="9" s="1"/>
  <c r="H18" i="9" s="1"/>
  <c r="C18" i="9" s="1"/>
  <c r="I18" i="9"/>
  <c r="A19" i="9"/>
  <c r="B19" i="9" s="1"/>
  <c r="E19" i="9"/>
  <c r="F19" i="9"/>
  <c r="G19" i="9" s="1"/>
  <c r="H19" i="9" s="1"/>
  <c r="C19" i="9" s="1"/>
  <c r="I19" i="9"/>
  <c r="A20" i="9"/>
  <c r="B20" i="9"/>
  <c r="E20" i="9"/>
  <c r="F20" i="9"/>
  <c r="G20" i="9" s="1"/>
  <c r="H20" i="9" s="1"/>
  <c r="C20" i="9" s="1"/>
  <c r="I20" i="9"/>
  <c r="A21" i="9"/>
  <c r="B21" i="9" s="1"/>
  <c r="D21" i="9"/>
  <c r="E21" i="9"/>
  <c r="F21" i="9"/>
  <c r="G21" i="9" s="1"/>
  <c r="H21" i="9" s="1"/>
  <c r="C21" i="9" s="1"/>
  <c r="I21" i="9"/>
  <c r="A22" i="9"/>
  <c r="B22" i="9"/>
  <c r="E22" i="9"/>
  <c r="F22" i="9"/>
  <c r="D22" i="9" s="1"/>
  <c r="I22" i="9"/>
  <c r="A23" i="9"/>
  <c r="B23" i="9" s="1"/>
  <c r="E23" i="9"/>
  <c r="F23" i="9"/>
  <c r="D23" i="9" s="1"/>
  <c r="G23" i="9"/>
  <c r="H23" i="9" s="1"/>
  <c r="C23" i="9" s="1"/>
  <c r="I23" i="9"/>
  <c r="A24" i="9"/>
  <c r="B24" i="9" s="1"/>
  <c r="E24" i="9"/>
  <c r="F24" i="9"/>
  <c r="D24" i="9" s="1"/>
  <c r="I24" i="9"/>
  <c r="A25" i="9"/>
  <c r="B25" i="9" s="1"/>
  <c r="E25" i="9"/>
  <c r="F25" i="9"/>
  <c r="D25" i="9" s="1"/>
  <c r="I25" i="9"/>
  <c r="A26" i="9"/>
  <c r="B26" i="9"/>
  <c r="E26" i="9"/>
  <c r="F26" i="9"/>
  <c r="G26" i="9" s="1"/>
  <c r="H26" i="9" s="1"/>
  <c r="C26" i="9" s="1"/>
  <c r="I26" i="9"/>
  <c r="A27" i="9"/>
  <c r="B27" i="9" s="1"/>
  <c r="E27" i="9"/>
  <c r="F27" i="9"/>
  <c r="G27" i="9" s="1"/>
  <c r="H27" i="9" s="1"/>
  <c r="C27" i="9" s="1"/>
  <c r="I27" i="9"/>
  <c r="A28" i="9"/>
  <c r="B28" i="9"/>
  <c r="D28" i="9"/>
  <c r="E28" i="9"/>
  <c r="F28" i="9"/>
  <c r="G28" i="9" s="1"/>
  <c r="H28" i="9" s="1"/>
  <c r="C28" i="9" s="1"/>
  <c r="I28" i="9"/>
  <c r="A29" i="9"/>
  <c r="B29" i="9" s="1"/>
  <c r="E29" i="9"/>
  <c r="F29" i="9"/>
  <c r="G29" i="9" s="1"/>
  <c r="H29" i="9" s="1"/>
  <c r="C29" i="9" s="1"/>
  <c r="I29" i="9"/>
  <c r="A30" i="9"/>
  <c r="B30" i="9"/>
  <c r="E30" i="9"/>
  <c r="F30" i="9"/>
  <c r="D30" i="9" s="1"/>
  <c r="I30" i="9"/>
  <c r="A31" i="9"/>
  <c r="B31" i="9" s="1"/>
  <c r="E31" i="9"/>
  <c r="F31" i="9"/>
  <c r="D31" i="9" s="1"/>
  <c r="I31" i="9"/>
  <c r="T2" i="9"/>
  <c r="U2" i="9"/>
  <c r="V2" i="9"/>
  <c r="W2" i="9"/>
  <c r="X2" i="9"/>
  <c r="Y2" i="9"/>
  <c r="Z2" i="9"/>
  <c r="AA2" i="9"/>
  <c r="AB2" i="9"/>
  <c r="W7" i="10"/>
  <c r="O4" i="10"/>
  <c r="P4" i="10" s="1"/>
  <c r="O5" i="10"/>
  <c r="Q5" i="10" s="1"/>
  <c r="R5" i="10" s="1"/>
  <c r="O6" i="10"/>
  <c r="P6" i="10" s="1"/>
  <c r="Q6" i="10"/>
  <c r="R6" i="10" s="1"/>
  <c r="S6" i="10"/>
  <c r="T6" i="10" s="1"/>
  <c r="O7" i="10"/>
  <c r="P7" i="10" s="1"/>
  <c r="S7" i="10"/>
  <c r="T7" i="10" s="1"/>
  <c r="O8" i="10"/>
  <c r="P8" i="10" s="1"/>
  <c r="O9" i="10"/>
  <c r="Q9" i="10" s="1"/>
  <c r="R9" i="10" s="1"/>
  <c r="O10" i="10"/>
  <c r="P10" i="10" s="1"/>
  <c r="Q10" i="10"/>
  <c r="R10" i="10" s="1"/>
  <c r="S10" i="10"/>
  <c r="T10" i="10" s="1"/>
  <c r="O11" i="10"/>
  <c r="P11" i="10" s="1"/>
  <c r="S11" i="10"/>
  <c r="T11" i="10" s="1"/>
  <c r="O12" i="10"/>
  <c r="P12" i="10" s="1"/>
  <c r="L5" i="10"/>
  <c r="M10" i="10"/>
  <c r="M26" i="10"/>
  <c r="A4" i="10"/>
  <c r="B4" i="10"/>
  <c r="C4" i="10"/>
  <c r="D4" i="10"/>
  <c r="E4" i="10" s="1"/>
  <c r="A5" i="10"/>
  <c r="B5" i="10"/>
  <c r="C5" i="10"/>
  <c r="D5" i="10"/>
  <c r="E5" i="10" s="1"/>
  <c r="A6" i="10"/>
  <c r="B6" i="10"/>
  <c r="C6" i="10"/>
  <c r="D6" i="10"/>
  <c r="E6" i="10" s="1"/>
  <c r="A7" i="10"/>
  <c r="B7" i="10"/>
  <c r="C7" i="10"/>
  <c r="D7" i="10"/>
  <c r="E7" i="10" s="1"/>
  <c r="A8" i="10"/>
  <c r="B8" i="10"/>
  <c r="C8" i="10"/>
  <c r="D8" i="10"/>
  <c r="E8" i="10" s="1"/>
  <c r="A9" i="10"/>
  <c r="B9" i="10"/>
  <c r="C9" i="10"/>
  <c r="D9" i="10"/>
  <c r="E9" i="10" s="1"/>
  <c r="A10" i="10"/>
  <c r="B10" i="10"/>
  <c r="C10" i="10"/>
  <c r="D10" i="10"/>
  <c r="E10" i="10" s="1"/>
  <c r="A11" i="10"/>
  <c r="B11" i="10"/>
  <c r="C11" i="10"/>
  <c r="D11" i="10"/>
  <c r="E11" i="10" s="1"/>
  <c r="A12" i="10"/>
  <c r="B12" i="10"/>
  <c r="C12" i="10"/>
  <c r="D12" i="10"/>
  <c r="E12" i="10" s="1"/>
  <c r="A13" i="10"/>
  <c r="B13" i="10"/>
  <c r="C13" i="10"/>
  <c r="D13" i="10"/>
  <c r="E13" i="10" s="1"/>
  <c r="A14" i="10"/>
  <c r="B14" i="10"/>
  <c r="C14" i="10"/>
  <c r="D14" i="10"/>
  <c r="E14" i="10" s="1"/>
  <c r="A15" i="10"/>
  <c r="B15" i="10"/>
  <c r="C15" i="10"/>
  <c r="D15" i="10"/>
  <c r="E15" i="10" s="1"/>
  <c r="A16" i="10"/>
  <c r="B16" i="10"/>
  <c r="C16" i="10"/>
  <c r="D16" i="10"/>
  <c r="E16" i="10" s="1"/>
  <c r="A17" i="10"/>
  <c r="B17" i="10"/>
  <c r="C17" i="10"/>
  <c r="D17" i="10"/>
  <c r="E17" i="10" s="1"/>
  <c r="A18" i="10"/>
  <c r="B18" i="10"/>
  <c r="C18" i="10"/>
  <c r="D18" i="10"/>
  <c r="E18" i="10" s="1"/>
  <c r="A19" i="10"/>
  <c r="B19" i="10"/>
  <c r="C19" i="10"/>
  <c r="D19" i="10"/>
  <c r="E19" i="10" s="1"/>
  <c r="A20" i="10"/>
  <c r="B20" i="10"/>
  <c r="C20" i="10"/>
  <c r="D20" i="10"/>
  <c r="E20" i="10" s="1"/>
  <c r="A21" i="10"/>
  <c r="B21" i="10"/>
  <c r="C21" i="10"/>
  <c r="D21" i="10"/>
  <c r="E21" i="10" s="1"/>
  <c r="A22" i="10"/>
  <c r="B22" i="10"/>
  <c r="C22" i="10"/>
  <c r="D22" i="10"/>
  <c r="E22" i="10" s="1"/>
  <c r="A23" i="10"/>
  <c r="B23" i="10"/>
  <c r="C23" i="10"/>
  <c r="D23" i="10"/>
  <c r="E23" i="10" s="1"/>
  <c r="A24" i="10"/>
  <c r="B24" i="10"/>
  <c r="C24" i="10"/>
  <c r="D24" i="10"/>
  <c r="E24" i="10" s="1"/>
  <c r="A25" i="10"/>
  <c r="B25" i="10"/>
  <c r="C25" i="10"/>
  <c r="D25" i="10"/>
  <c r="E25" i="10" s="1"/>
  <c r="A26" i="10"/>
  <c r="B26" i="10"/>
  <c r="C26" i="10"/>
  <c r="D26" i="10"/>
  <c r="E26" i="10" s="1"/>
  <c r="A27" i="10"/>
  <c r="B27" i="10"/>
  <c r="C27" i="10"/>
  <c r="D27" i="10"/>
  <c r="E27" i="10" s="1"/>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E2" i="8"/>
  <c r="F2" i="8"/>
  <c r="G2" i="8"/>
  <c r="H2" i="8"/>
  <c r="I2" i="8"/>
  <c r="J2" i="8"/>
  <c r="K2" i="8"/>
  <c r="L2" i="8"/>
  <c r="M2" i="8"/>
  <c r="E3" i="8"/>
  <c r="F3" i="8"/>
  <c r="G3" i="8"/>
  <c r="H3" i="8"/>
  <c r="I3" i="8"/>
  <c r="J3" i="8"/>
  <c r="K3" i="8"/>
  <c r="L3" i="8"/>
  <c r="M3" i="8"/>
  <c r="A5" i="7"/>
  <c r="P5" i="7" s="1"/>
  <c r="B5" i="7"/>
  <c r="N5" i="7"/>
  <c r="Q5" i="7"/>
  <c r="R5" i="7"/>
  <c r="S5" i="7"/>
  <c r="T5" i="7"/>
  <c r="U5" i="7"/>
  <c r="V5" i="7"/>
  <c r="W5" i="7"/>
  <c r="X5" i="7"/>
  <c r="Y5" i="7"/>
  <c r="Z5" i="7"/>
  <c r="AA5" i="7"/>
  <c r="A6" i="7"/>
  <c r="P6" i="7" s="1"/>
  <c r="B6" i="7"/>
  <c r="N6" i="7"/>
  <c r="Q6" i="7"/>
  <c r="R6" i="7"/>
  <c r="S6" i="7"/>
  <c r="T6" i="7"/>
  <c r="U6" i="7"/>
  <c r="V6" i="7"/>
  <c r="W6" i="7"/>
  <c r="X6" i="7"/>
  <c r="Y6" i="7"/>
  <c r="Z6" i="7"/>
  <c r="AA6" i="7"/>
  <c r="A7" i="7"/>
  <c r="P7" i="7" s="1"/>
  <c r="B7" i="7"/>
  <c r="N7" i="7"/>
  <c r="Q7" i="7"/>
  <c r="R7" i="7"/>
  <c r="S7" i="7"/>
  <c r="T7" i="7"/>
  <c r="U7" i="7"/>
  <c r="V7" i="7"/>
  <c r="W7" i="7"/>
  <c r="X7" i="7"/>
  <c r="Y7" i="7"/>
  <c r="Z7" i="7"/>
  <c r="AA7" i="7"/>
  <c r="A8" i="7"/>
  <c r="P8" i="7" s="1"/>
  <c r="B8" i="7"/>
  <c r="N8" i="7"/>
  <c r="Q8" i="7"/>
  <c r="R8" i="7"/>
  <c r="S8" i="7"/>
  <c r="T8" i="7"/>
  <c r="U8" i="7"/>
  <c r="V8" i="7"/>
  <c r="W8" i="7"/>
  <c r="AB8" i="7" s="1"/>
  <c r="X8" i="7"/>
  <c r="Y8" i="7"/>
  <c r="Z8" i="7"/>
  <c r="AA8" i="7"/>
  <c r="A9" i="7"/>
  <c r="P9" i="7" s="1"/>
  <c r="B9" i="7"/>
  <c r="N9" i="7"/>
  <c r="Q9" i="7"/>
  <c r="R9" i="7"/>
  <c r="S9" i="7"/>
  <c r="T9" i="7"/>
  <c r="U9" i="7"/>
  <c r="V9" i="7"/>
  <c r="W9" i="7"/>
  <c r="X9" i="7"/>
  <c r="Y9" i="7"/>
  <c r="Z9" i="7"/>
  <c r="AA9" i="7"/>
  <c r="A10" i="7"/>
  <c r="P10" i="7" s="1"/>
  <c r="B10" i="7"/>
  <c r="N10" i="7"/>
  <c r="Q10" i="7"/>
  <c r="R10" i="7"/>
  <c r="S10" i="7"/>
  <c r="T10" i="7"/>
  <c r="U10" i="7"/>
  <c r="V10" i="7"/>
  <c r="W10" i="7"/>
  <c r="X10" i="7"/>
  <c r="Y10" i="7"/>
  <c r="Z10" i="7"/>
  <c r="AA10" i="7"/>
  <c r="A11" i="7"/>
  <c r="P11" i="7" s="1"/>
  <c r="B11" i="7"/>
  <c r="N11" i="7"/>
  <c r="Q11" i="7"/>
  <c r="R11" i="7"/>
  <c r="S11" i="7"/>
  <c r="T11" i="7"/>
  <c r="U11" i="7"/>
  <c r="V11" i="7"/>
  <c r="W11" i="7"/>
  <c r="X11" i="7"/>
  <c r="Y11" i="7"/>
  <c r="Z11" i="7"/>
  <c r="AA11" i="7"/>
  <c r="A12" i="7"/>
  <c r="P12" i="7" s="1"/>
  <c r="B12" i="7"/>
  <c r="N12" i="7"/>
  <c r="Q12" i="7"/>
  <c r="R12" i="7"/>
  <c r="S12" i="7"/>
  <c r="T12" i="7"/>
  <c r="U12" i="7"/>
  <c r="V12" i="7"/>
  <c r="W12" i="7"/>
  <c r="AB12" i="7" s="1"/>
  <c r="X12" i="7"/>
  <c r="Y12" i="7"/>
  <c r="Z12" i="7"/>
  <c r="AA12" i="7"/>
  <c r="A13" i="7"/>
  <c r="P13" i="7" s="1"/>
  <c r="B13" i="7"/>
  <c r="N13" i="7"/>
  <c r="Q13" i="7"/>
  <c r="R13" i="7"/>
  <c r="S13" i="7"/>
  <c r="T13" i="7"/>
  <c r="U13" i="7"/>
  <c r="V13" i="7"/>
  <c r="W13" i="7"/>
  <c r="X13" i="7"/>
  <c r="Y13" i="7"/>
  <c r="Z13" i="7"/>
  <c r="AA13" i="7"/>
  <c r="N4" i="7"/>
  <c r="W2" i="7"/>
  <c r="R4" i="7"/>
  <c r="S4" i="7"/>
  <c r="T4" i="7"/>
  <c r="U4" i="7"/>
  <c r="V4" i="7"/>
  <c r="V3" i="7" s="1"/>
  <c r="W4" i="7"/>
  <c r="X4" i="7"/>
  <c r="Y4" i="7"/>
  <c r="Z4" i="7"/>
  <c r="AA4" i="7"/>
  <c r="D2" i="7"/>
  <c r="R2" i="7" s="1"/>
  <c r="E2" i="7"/>
  <c r="S2" i="7" s="1"/>
  <c r="F2" i="7"/>
  <c r="T2" i="7" s="1"/>
  <c r="G2" i="7"/>
  <c r="U2" i="7" s="1"/>
  <c r="H2" i="7"/>
  <c r="V2" i="7" s="1"/>
  <c r="I2" i="7"/>
  <c r="J2" i="7"/>
  <c r="X2" i="7" s="1"/>
  <c r="K2" i="7"/>
  <c r="Y2" i="7" s="1"/>
  <c r="L2" i="7"/>
  <c r="Z2" i="7" s="1"/>
  <c r="M2" i="7"/>
  <c r="AA2" i="7" s="1"/>
  <c r="K3" i="7"/>
  <c r="B5" i="6"/>
  <c r="N5" i="6"/>
  <c r="P5" i="6"/>
  <c r="Q5" i="6"/>
  <c r="R5" i="6"/>
  <c r="S5" i="6"/>
  <c r="T5" i="6"/>
  <c r="U5" i="6"/>
  <c r="V5" i="6"/>
  <c r="W5" i="6"/>
  <c r="X5" i="6"/>
  <c r="Y5" i="6"/>
  <c r="Z5" i="6"/>
  <c r="AA5" i="6"/>
  <c r="B6" i="6"/>
  <c r="N6" i="6"/>
  <c r="P6" i="6"/>
  <c r="Q6" i="6"/>
  <c r="R6" i="6"/>
  <c r="S6" i="6"/>
  <c r="T6" i="6"/>
  <c r="U6" i="6"/>
  <c r="AB6" i="6" s="1"/>
  <c r="V6" i="6"/>
  <c r="W6" i="6"/>
  <c r="X6" i="6"/>
  <c r="Y6" i="6"/>
  <c r="Z6" i="6"/>
  <c r="AA6" i="6"/>
  <c r="B7" i="6"/>
  <c r="N7" i="6"/>
  <c r="P7" i="6"/>
  <c r="Q7" i="6"/>
  <c r="R7" i="6"/>
  <c r="S7" i="6"/>
  <c r="T7" i="6"/>
  <c r="U7" i="6"/>
  <c r="V7" i="6"/>
  <c r="W7" i="6"/>
  <c r="X7" i="6"/>
  <c r="Y7" i="6"/>
  <c r="Z7" i="6"/>
  <c r="AA7" i="6"/>
  <c r="B8" i="6"/>
  <c r="N8" i="6"/>
  <c r="P8" i="6"/>
  <c r="Q8" i="6"/>
  <c r="R8" i="6"/>
  <c r="S8" i="6"/>
  <c r="T8" i="6"/>
  <c r="U8" i="6"/>
  <c r="V8" i="6"/>
  <c r="W8" i="6"/>
  <c r="X8" i="6"/>
  <c r="Y8" i="6"/>
  <c r="Z8" i="6"/>
  <c r="AA8" i="6"/>
  <c r="B9" i="6"/>
  <c r="N9" i="6"/>
  <c r="P9" i="6"/>
  <c r="Q9" i="6"/>
  <c r="R9" i="6"/>
  <c r="S9" i="6"/>
  <c r="T9" i="6"/>
  <c r="U9" i="6"/>
  <c r="V9" i="6"/>
  <c r="W9" i="6"/>
  <c r="X9" i="6"/>
  <c r="Y9" i="6"/>
  <c r="Z9" i="6"/>
  <c r="AA9" i="6"/>
  <c r="B10" i="6"/>
  <c r="N10" i="6"/>
  <c r="P10" i="6"/>
  <c r="Q10" i="6"/>
  <c r="R10" i="6"/>
  <c r="S10" i="6"/>
  <c r="T10" i="6"/>
  <c r="U10" i="6"/>
  <c r="V10" i="6"/>
  <c r="W10" i="6"/>
  <c r="X10" i="6"/>
  <c r="Y10" i="6"/>
  <c r="Z10" i="6"/>
  <c r="AA10" i="6"/>
  <c r="B11" i="6"/>
  <c r="N11" i="6"/>
  <c r="P11" i="6"/>
  <c r="Q11" i="6"/>
  <c r="R11" i="6"/>
  <c r="S11" i="6"/>
  <c r="T11" i="6"/>
  <c r="U11" i="6"/>
  <c r="V11" i="6"/>
  <c r="W11" i="6"/>
  <c r="X11" i="6"/>
  <c r="Y11" i="6"/>
  <c r="Z11" i="6"/>
  <c r="AA11" i="6"/>
  <c r="B12" i="6"/>
  <c r="N12" i="6"/>
  <c r="P12" i="6"/>
  <c r="Q12" i="6"/>
  <c r="R12" i="6"/>
  <c r="S12" i="6"/>
  <c r="T12" i="6"/>
  <c r="U12" i="6"/>
  <c r="V12" i="6"/>
  <c r="W12" i="6"/>
  <c r="X12" i="6"/>
  <c r="Y12" i="6"/>
  <c r="Z12" i="6"/>
  <c r="AA12" i="6"/>
  <c r="B13" i="6"/>
  <c r="N13" i="6"/>
  <c r="P13" i="6"/>
  <c r="Q13" i="6"/>
  <c r="R13" i="6"/>
  <c r="S13" i="6"/>
  <c r="T13" i="6"/>
  <c r="U13" i="6"/>
  <c r="V13" i="6"/>
  <c r="W13" i="6"/>
  <c r="X13" i="6"/>
  <c r="Y13" i="6"/>
  <c r="Z13" i="6"/>
  <c r="AA13" i="6"/>
  <c r="B14" i="6"/>
  <c r="N14" i="6"/>
  <c r="P14" i="6"/>
  <c r="Q14" i="6"/>
  <c r="R14" i="6"/>
  <c r="S14" i="6"/>
  <c r="T14" i="6"/>
  <c r="U14" i="6"/>
  <c r="V14" i="6"/>
  <c r="W14" i="6"/>
  <c r="X14" i="6"/>
  <c r="Y14" i="6"/>
  <c r="Z14" i="6"/>
  <c r="AA14" i="6"/>
  <c r="B15" i="6"/>
  <c r="N15" i="6"/>
  <c r="P15" i="6"/>
  <c r="Q15" i="6"/>
  <c r="R15" i="6"/>
  <c r="S15" i="6"/>
  <c r="T15" i="6"/>
  <c r="U15" i="6"/>
  <c r="V15" i="6"/>
  <c r="W15" i="6"/>
  <c r="AB15" i="6" s="1"/>
  <c r="X15" i="6"/>
  <c r="Y15" i="6"/>
  <c r="Z15" i="6"/>
  <c r="AA15" i="6"/>
  <c r="B16" i="6"/>
  <c r="N16" i="6"/>
  <c r="P16" i="6"/>
  <c r="Q16" i="6"/>
  <c r="AB16" i="6" s="1"/>
  <c r="R16" i="6"/>
  <c r="S16" i="6"/>
  <c r="T16" i="6"/>
  <c r="U16" i="6"/>
  <c r="V16" i="6"/>
  <c r="W16" i="6"/>
  <c r="X16" i="6"/>
  <c r="Y16" i="6"/>
  <c r="Z16" i="6"/>
  <c r="AA16" i="6"/>
  <c r="B17" i="6"/>
  <c r="N17" i="6"/>
  <c r="P17" i="6"/>
  <c r="Q17" i="6"/>
  <c r="R17" i="6"/>
  <c r="S17" i="6"/>
  <c r="T17" i="6"/>
  <c r="U17" i="6"/>
  <c r="V17" i="6"/>
  <c r="W17" i="6"/>
  <c r="X17" i="6"/>
  <c r="Y17" i="6"/>
  <c r="Z17" i="6"/>
  <c r="AA17" i="6"/>
  <c r="B18" i="6"/>
  <c r="N18" i="6"/>
  <c r="P18" i="6"/>
  <c r="Q18" i="6"/>
  <c r="R18" i="6"/>
  <c r="S18" i="6"/>
  <c r="T18" i="6"/>
  <c r="U18" i="6"/>
  <c r="V18" i="6"/>
  <c r="W18" i="6"/>
  <c r="X18" i="6"/>
  <c r="Y18" i="6"/>
  <c r="Z18" i="6"/>
  <c r="AA18" i="6"/>
  <c r="B19" i="6"/>
  <c r="N19" i="6"/>
  <c r="P19" i="6"/>
  <c r="Q19" i="6"/>
  <c r="R19" i="6"/>
  <c r="S19" i="6"/>
  <c r="T19" i="6"/>
  <c r="U19" i="6"/>
  <c r="V19" i="6"/>
  <c r="W19" i="6"/>
  <c r="X19" i="6"/>
  <c r="Y19" i="6"/>
  <c r="Z19" i="6"/>
  <c r="AA19" i="6"/>
  <c r="B20" i="6"/>
  <c r="N20" i="6"/>
  <c r="P20" i="6"/>
  <c r="Q20" i="6"/>
  <c r="AB20" i="6" s="1"/>
  <c r="R20" i="6"/>
  <c r="S20" i="6"/>
  <c r="T20" i="6"/>
  <c r="U20" i="6"/>
  <c r="V20" i="6"/>
  <c r="W20" i="6"/>
  <c r="X20" i="6"/>
  <c r="Y20" i="6"/>
  <c r="Z20" i="6"/>
  <c r="AA20" i="6"/>
  <c r="B21" i="6"/>
  <c r="N21" i="6"/>
  <c r="P21" i="6"/>
  <c r="Q21" i="6"/>
  <c r="R21" i="6"/>
  <c r="AB21" i="6" s="1"/>
  <c r="S21" i="6"/>
  <c r="T21" i="6"/>
  <c r="U21" i="6"/>
  <c r="V21" i="6"/>
  <c r="W21" i="6"/>
  <c r="X21" i="6"/>
  <c r="Y21" i="6"/>
  <c r="Z21" i="6"/>
  <c r="AA21" i="6"/>
  <c r="B22" i="6"/>
  <c r="N22" i="6"/>
  <c r="P22" i="6"/>
  <c r="Q22" i="6"/>
  <c r="R22" i="6"/>
  <c r="S22" i="6"/>
  <c r="T22" i="6"/>
  <c r="U22" i="6"/>
  <c r="V22" i="6"/>
  <c r="W22" i="6"/>
  <c r="X22" i="6"/>
  <c r="Y22" i="6"/>
  <c r="Z22" i="6"/>
  <c r="AA22" i="6"/>
  <c r="B23" i="6"/>
  <c r="N23" i="6"/>
  <c r="P23" i="6"/>
  <c r="Q23" i="6"/>
  <c r="R23" i="6"/>
  <c r="S23" i="6"/>
  <c r="T23" i="6"/>
  <c r="U23" i="6"/>
  <c r="V23" i="6"/>
  <c r="W23" i="6"/>
  <c r="X23" i="6"/>
  <c r="Y23" i="6"/>
  <c r="Z23" i="6"/>
  <c r="AA23" i="6"/>
  <c r="B24" i="6"/>
  <c r="N24" i="6"/>
  <c r="P24" i="6"/>
  <c r="Q24" i="6"/>
  <c r="R24" i="6"/>
  <c r="S24" i="6"/>
  <c r="T24" i="6"/>
  <c r="U24" i="6"/>
  <c r="V24" i="6"/>
  <c r="W24" i="6"/>
  <c r="X24" i="6"/>
  <c r="Y24" i="6"/>
  <c r="Z24" i="6"/>
  <c r="AA24" i="6"/>
  <c r="B25" i="6"/>
  <c r="N25" i="6"/>
  <c r="P25" i="6"/>
  <c r="Q25" i="6"/>
  <c r="R25" i="6"/>
  <c r="S25" i="6"/>
  <c r="T25" i="6"/>
  <c r="U25" i="6"/>
  <c r="V25" i="6"/>
  <c r="W25" i="6"/>
  <c r="X25" i="6"/>
  <c r="Y25" i="6"/>
  <c r="Z25" i="6"/>
  <c r="AA25" i="6"/>
  <c r="B26" i="6"/>
  <c r="N26" i="6"/>
  <c r="P26" i="6"/>
  <c r="Q26" i="6"/>
  <c r="R26" i="6"/>
  <c r="S26" i="6"/>
  <c r="T26" i="6"/>
  <c r="U26" i="6"/>
  <c r="V26" i="6"/>
  <c r="W26" i="6"/>
  <c r="X26" i="6"/>
  <c r="Y26" i="6"/>
  <c r="Z26" i="6"/>
  <c r="AA26" i="6"/>
  <c r="B27" i="6"/>
  <c r="N27" i="6"/>
  <c r="P27" i="6"/>
  <c r="Q27" i="6"/>
  <c r="AB27" i="6" s="1"/>
  <c r="R27" i="6"/>
  <c r="S27" i="6"/>
  <c r="T27" i="6"/>
  <c r="U27" i="6"/>
  <c r="V27" i="6"/>
  <c r="W27" i="6"/>
  <c r="X27" i="6"/>
  <c r="Y27" i="6"/>
  <c r="Z27" i="6"/>
  <c r="AA27" i="6"/>
  <c r="B28" i="6"/>
  <c r="N28" i="6"/>
  <c r="P28" i="6"/>
  <c r="Q28" i="6"/>
  <c r="R28" i="6"/>
  <c r="S28" i="6"/>
  <c r="T28" i="6"/>
  <c r="AB28" i="6" s="1"/>
  <c r="U28" i="6"/>
  <c r="V28" i="6"/>
  <c r="W28" i="6"/>
  <c r="X28" i="6"/>
  <c r="Y28" i="6"/>
  <c r="Z28" i="6"/>
  <c r="AA28" i="6"/>
  <c r="R1" i="6"/>
  <c r="S1" i="6"/>
  <c r="T1" i="6"/>
  <c r="U1" i="6"/>
  <c r="V1" i="6"/>
  <c r="W1" i="6"/>
  <c r="X1" i="6"/>
  <c r="Y1" i="6"/>
  <c r="Z1" i="6"/>
  <c r="AA1" i="6"/>
  <c r="R4" i="6"/>
  <c r="S4" i="6"/>
  <c r="T4" i="6"/>
  <c r="U4" i="6"/>
  <c r="V4" i="6"/>
  <c r="W4" i="6"/>
  <c r="X4" i="6"/>
  <c r="Y4" i="6"/>
  <c r="Z4" i="6"/>
  <c r="AA4" i="6"/>
  <c r="N4" i="6"/>
  <c r="D2" i="6"/>
  <c r="R2" i="6" s="1"/>
  <c r="E2" i="6"/>
  <c r="S2" i="6" s="1"/>
  <c r="F2" i="6"/>
  <c r="T2" i="6" s="1"/>
  <c r="G2" i="6"/>
  <c r="U2" i="6" s="1"/>
  <c r="H2" i="6"/>
  <c r="V2" i="6" s="1"/>
  <c r="I2" i="6"/>
  <c r="W2" i="6" s="1"/>
  <c r="J2" i="6"/>
  <c r="X2" i="6" s="1"/>
  <c r="K2" i="6"/>
  <c r="Y2" i="6" s="1"/>
  <c r="L2" i="6"/>
  <c r="Z2" i="6" s="1"/>
  <c r="M2" i="6"/>
  <c r="AA2" i="6" s="1"/>
  <c r="D29" i="6"/>
  <c r="D3" i="7" s="1"/>
  <c r="E29" i="6"/>
  <c r="E3" i="7" s="1"/>
  <c r="F29" i="6"/>
  <c r="F3" i="7" s="1"/>
  <c r="G29" i="6"/>
  <c r="G3" i="7" s="1"/>
  <c r="H29" i="6"/>
  <c r="H3" i="7" s="1"/>
  <c r="I29" i="6"/>
  <c r="I3" i="7" s="1"/>
  <c r="J29" i="6"/>
  <c r="J3" i="7" s="1"/>
  <c r="K29" i="6"/>
  <c r="L29" i="6"/>
  <c r="L3" i="7" s="1"/>
  <c r="M29" i="6"/>
  <c r="M3" i="7" s="1"/>
  <c r="G9" i="2"/>
  <c r="H9" i="2"/>
  <c r="I9" i="2"/>
  <c r="J9" i="2"/>
  <c r="G10" i="2"/>
  <c r="H10" i="2"/>
  <c r="I10" i="2"/>
  <c r="J10" i="2"/>
  <c r="G11" i="2"/>
  <c r="H11" i="2"/>
  <c r="I11" i="2"/>
  <c r="J11" i="2"/>
  <c r="G12" i="2"/>
  <c r="H12" i="2"/>
  <c r="I12" i="2"/>
  <c r="J12" i="2"/>
  <c r="G13" i="2"/>
  <c r="H13" i="2"/>
  <c r="I13" i="2"/>
  <c r="J13" i="2"/>
  <c r="F4" i="5"/>
  <c r="G4" i="5"/>
  <c r="H4" i="5"/>
  <c r="I4" i="5"/>
  <c r="J4" i="5"/>
  <c r="K4" i="5"/>
  <c r="L4" i="5"/>
  <c r="M4" i="5"/>
  <c r="N4" i="5"/>
  <c r="O4" i="5"/>
  <c r="P4" i="5"/>
  <c r="Q4" i="5"/>
  <c r="F5" i="5"/>
  <c r="G5" i="5"/>
  <c r="H5" i="5"/>
  <c r="I5" i="5"/>
  <c r="J5" i="5"/>
  <c r="K5" i="5"/>
  <c r="L5" i="5"/>
  <c r="M5" i="5"/>
  <c r="N5" i="5"/>
  <c r="O5" i="5"/>
  <c r="P5" i="5"/>
  <c r="Q5" i="5"/>
  <c r="F6" i="5"/>
  <c r="G6" i="5"/>
  <c r="H6" i="5"/>
  <c r="I6" i="5"/>
  <c r="J6" i="5"/>
  <c r="K6" i="5"/>
  <c r="L6" i="5"/>
  <c r="M6" i="5"/>
  <c r="N6" i="5"/>
  <c r="O6" i="5"/>
  <c r="P6" i="5"/>
  <c r="Q6" i="5"/>
  <c r="F7" i="5"/>
  <c r="G7" i="5"/>
  <c r="H7" i="5"/>
  <c r="I7" i="5"/>
  <c r="J7" i="5"/>
  <c r="K7" i="5"/>
  <c r="L7" i="5"/>
  <c r="M7" i="5"/>
  <c r="N7" i="5"/>
  <c r="O7" i="5"/>
  <c r="P7" i="5"/>
  <c r="Q7" i="5"/>
  <c r="D7" i="20"/>
  <c r="B3" i="20"/>
  <c r="B1" i="20"/>
  <c r="G13" i="19"/>
  <c r="G12" i="19"/>
  <c r="K1" i="19" s="1"/>
  <c r="H10" i="19"/>
  <c r="K10" i="19" s="1"/>
  <c r="G10" i="19"/>
  <c r="H9" i="19"/>
  <c r="K9" i="19" s="1"/>
  <c r="G9" i="19"/>
  <c r="G11" i="19" s="1"/>
  <c r="D5" i="19"/>
  <c r="D6" i="19" s="1"/>
  <c r="D13" i="18"/>
  <c r="B13" i="18"/>
  <c r="D12" i="18"/>
  <c r="J8" i="18"/>
  <c r="B5" i="18"/>
  <c r="B2" i="18"/>
  <c r="B1" i="18"/>
  <c r="B6" i="17"/>
  <c r="A4" i="17"/>
  <c r="A1" i="17"/>
  <c r="B2" i="16"/>
  <c r="A2" i="16"/>
  <c r="H2" i="15"/>
  <c r="F2" i="15"/>
  <c r="E2" i="15"/>
  <c r="D2" i="15"/>
  <c r="C2" i="15"/>
  <c r="B2" i="15"/>
  <c r="A2" i="15"/>
  <c r="E1" i="15"/>
  <c r="D1" i="15"/>
  <c r="C1" i="15"/>
  <c r="B1" i="15"/>
  <c r="A3" i="14"/>
  <c r="A1" i="14"/>
  <c r="A1" i="13"/>
  <c r="H14" i="12"/>
  <c r="AA5" i="11"/>
  <c r="Z5" i="11"/>
  <c r="X5" i="11"/>
  <c r="W5" i="11"/>
  <c r="AL28" i="11" s="1"/>
  <c r="L47" i="11"/>
  <c r="Y5" i="11"/>
  <c r="AB4" i="11"/>
  <c r="AC4" i="11"/>
  <c r="AJ4" i="11" s="1"/>
  <c r="AB3" i="11"/>
  <c r="AC3" i="11"/>
  <c r="AB2" i="11"/>
  <c r="Y2" i="11"/>
  <c r="X2" i="11"/>
  <c r="AC2" i="11"/>
  <c r="AJ2" i="11" s="1"/>
  <c r="AH1" i="11"/>
  <c r="W1" i="11"/>
  <c r="U1" i="11"/>
  <c r="W3" i="10"/>
  <c r="O3" i="10"/>
  <c r="P3" i="10" s="1"/>
  <c r="D3" i="10"/>
  <c r="E3" i="10" s="1"/>
  <c r="C3" i="10"/>
  <c r="B3" i="10"/>
  <c r="A3" i="10"/>
  <c r="C2" i="10"/>
  <c r="B2" i="10"/>
  <c r="A2" i="10"/>
  <c r="I7" i="9"/>
  <c r="E7" i="9"/>
  <c r="A7" i="9"/>
  <c r="B7" i="9" s="1"/>
  <c r="S2" i="9"/>
  <c r="G2" i="9"/>
  <c r="F2" i="9"/>
  <c r="C4" i="8"/>
  <c r="B4" i="8"/>
  <c r="D3" i="8"/>
  <c r="D2" i="8"/>
  <c r="Q4" i="7"/>
  <c r="B4" i="7"/>
  <c r="A4" i="7"/>
  <c r="P4" i="7" s="1"/>
  <c r="C2" i="7"/>
  <c r="Q2" i="7" s="1"/>
  <c r="C29" i="6"/>
  <c r="C3" i="7" s="1"/>
  <c r="Q4" i="6"/>
  <c r="P4" i="6"/>
  <c r="B4" i="6"/>
  <c r="P2" i="6"/>
  <c r="C2" i="6"/>
  <c r="Q2" i="6" s="1"/>
  <c r="Q1" i="6"/>
  <c r="I2" i="5"/>
  <c r="G2" i="5"/>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B1" i="3"/>
  <c r="L1" i="3" s="1"/>
  <c r="K13" i="2"/>
  <c r="E11" i="2"/>
  <c r="E10" i="2"/>
  <c r="E9" i="2"/>
  <c r="E8" i="2"/>
  <c r="E7" i="2"/>
  <c r="E6" i="2"/>
  <c r="E5" i="2"/>
  <c r="E4" i="2"/>
  <c r="H3" i="2"/>
  <c r="E3" i="2"/>
  <c r="H2" i="2"/>
  <c r="H1" i="2"/>
  <c r="C2" i="1" s="1"/>
  <c r="K16" i="1"/>
  <c r="M15" i="1"/>
  <c r="C5" i="1"/>
  <c r="C4" i="1"/>
  <c r="C3" i="1"/>
  <c r="W4" i="10" s="1"/>
  <c r="X18" i="12" l="1"/>
  <c r="X8" i="12"/>
  <c r="K5" i="12"/>
  <c r="U10" i="12"/>
  <c r="X12" i="12"/>
  <c r="X17" i="12"/>
  <c r="W12" i="12"/>
  <c r="W17" i="12"/>
  <c r="W8" i="12"/>
  <c r="X27" i="12"/>
  <c r="X13" i="12"/>
  <c r="U8" i="12"/>
  <c r="U27" i="12"/>
  <c r="X16" i="12"/>
  <c r="W13" i="12"/>
  <c r="V27" i="12"/>
  <c r="T5" i="12"/>
  <c r="T10" i="12"/>
  <c r="V10" i="12" s="1"/>
  <c r="V28" i="12"/>
  <c r="X5" i="12"/>
  <c r="W24" i="12"/>
  <c r="X20" i="12"/>
  <c r="U28" i="12"/>
  <c r="W5" i="12"/>
  <c r="W20" i="12"/>
  <c r="U12" i="12"/>
  <c r="X10" i="12"/>
  <c r="W27" i="12"/>
  <c r="U5" i="12"/>
  <c r="W10" i="12"/>
  <c r="S16" i="12"/>
  <c r="T13" i="12"/>
  <c r="H13" i="12"/>
  <c r="U7" i="12"/>
  <c r="I7" i="12"/>
  <c r="J26" i="12"/>
  <c r="L21" i="12"/>
  <c r="S24" i="12"/>
  <c r="T20" i="12"/>
  <c r="V20" i="12" s="1"/>
  <c r="H20" i="12"/>
  <c r="U9" i="12"/>
  <c r="I9" i="12"/>
  <c r="J25" i="12"/>
  <c r="L15" i="12"/>
  <c r="S18" i="12"/>
  <c r="T17" i="12"/>
  <c r="H17" i="12"/>
  <c r="U23" i="12"/>
  <c r="I23" i="12"/>
  <c r="J19" i="12"/>
  <c r="W4" i="12"/>
  <c r="L11" i="12"/>
  <c r="S13" i="12"/>
  <c r="T7" i="12"/>
  <c r="H7" i="12"/>
  <c r="U26" i="12"/>
  <c r="I26" i="12"/>
  <c r="J6" i="12"/>
  <c r="S20" i="12"/>
  <c r="T9" i="12"/>
  <c r="H9" i="12"/>
  <c r="U25" i="12"/>
  <c r="I25" i="12"/>
  <c r="J22" i="12"/>
  <c r="K22" i="12" s="1"/>
  <c r="S17" i="12"/>
  <c r="T23" i="12"/>
  <c r="H23" i="12"/>
  <c r="U19" i="12"/>
  <c r="I19" i="12"/>
  <c r="J4" i="12"/>
  <c r="S7" i="12"/>
  <c r="T26" i="12"/>
  <c r="H26" i="12"/>
  <c r="I6" i="12"/>
  <c r="J21" i="12"/>
  <c r="S9" i="12"/>
  <c r="T25" i="12"/>
  <c r="H25" i="12"/>
  <c r="I22" i="12"/>
  <c r="J15" i="12"/>
  <c r="K15" i="12" s="1"/>
  <c r="S23" i="12"/>
  <c r="T19" i="12"/>
  <c r="H19" i="12"/>
  <c r="U4" i="12"/>
  <c r="I4" i="12"/>
  <c r="J11" i="12"/>
  <c r="S26" i="12"/>
  <c r="H6" i="12"/>
  <c r="I21" i="12"/>
  <c r="S25" i="12"/>
  <c r="H22" i="12"/>
  <c r="I15" i="12"/>
  <c r="S19" i="12"/>
  <c r="T4" i="12"/>
  <c r="H4" i="12"/>
  <c r="I11" i="12"/>
  <c r="S4" i="12"/>
  <c r="H11" i="12"/>
  <c r="R6" i="12"/>
  <c r="R22" i="12"/>
  <c r="T27" i="12"/>
  <c r="U16" i="12"/>
  <c r="V16" i="12" s="1"/>
  <c r="I16" i="12"/>
  <c r="K16" i="12" s="1"/>
  <c r="V13" i="12"/>
  <c r="J13" i="12"/>
  <c r="K13" i="12" s="1"/>
  <c r="W7" i="12"/>
  <c r="K7" i="12"/>
  <c r="X26" i="12"/>
  <c r="L26" i="12"/>
  <c r="M6" i="12"/>
  <c r="R21" i="12"/>
  <c r="T8" i="12"/>
  <c r="V8" i="12" s="1"/>
  <c r="U24" i="12"/>
  <c r="V24" i="12" s="1"/>
  <c r="I24" i="12"/>
  <c r="K24" i="12" s="1"/>
  <c r="J20" i="12"/>
  <c r="K20" i="12" s="1"/>
  <c r="W9" i="12"/>
  <c r="K9" i="12"/>
  <c r="X25" i="12"/>
  <c r="L25" i="12"/>
  <c r="M22" i="12"/>
  <c r="R15" i="12"/>
  <c r="T12" i="12"/>
  <c r="U18" i="12"/>
  <c r="V18" i="12" s="1"/>
  <c r="I18" i="12"/>
  <c r="K18" i="12" s="1"/>
  <c r="V17" i="12"/>
  <c r="J17" i="12"/>
  <c r="K17" i="12" s="1"/>
  <c r="W23" i="12"/>
  <c r="K23" i="12"/>
  <c r="X19" i="12"/>
  <c r="L19" i="12"/>
  <c r="M4" i="12"/>
  <c r="R11" i="12"/>
  <c r="J14" i="12"/>
  <c r="G2" i="12"/>
  <c r="Y75" i="11"/>
  <c r="Y51" i="11"/>
  <c r="Y43" i="11"/>
  <c r="Y35" i="11"/>
  <c r="Y19" i="11"/>
  <c r="Y11" i="11"/>
  <c r="Y64" i="11"/>
  <c r="Y56" i="11"/>
  <c r="Y32" i="11"/>
  <c r="Y24" i="11"/>
  <c r="Y16" i="11"/>
  <c r="Y8" i="11"/>
  <c r="Y85" i="11"/>
  <c r="Y53" i="11"/>
  <c r="Y45" i="11"/>
  <c r="Y29" i="11"/>
  <c r="Y21" i="11"/>
  <c r="Y13" i="11"/>
  <c r="Y66" i="11"/>
  <c r="Y34" i="11"/>
  <c r="Y26" i="11"/>
  <c r="Y18" i="11"/>
  <c r="Y10" i="11"/>
  <c r="Y55" i="11"/>
  <c r="Y31" i="11"/>
  <c r="Y23" i="11"/>
  <c r="Y15" i="11"/>
  <c r="Y7" i="11"/>
  <c r="Y44" i="11"/>
  <c r="Y36" i="11"/>
  <c r="Y20" i="11"/>
  <c r="Y12" i="11"/>
  <c r="Y65" i="11"/>
  <c r="Y57" i="11"/>
  <c r="Y41" i="11"/>
  <c r="Y33" i="11"/>
  <c r="Y25" i="11"/>
  <c r="Y17" i="11"/>
  <c r="Y9" i="11"/>
  <c r="Y86" i="11"/>
  <c r="Y54" i="11"/>
  <c r="Y46" i="11"/>
  <c r="Y30" i="11"/>
  <c r="Y22" i="11"/>
  <c r="Y14" i="11"/>
  <c r="Y6" i="11"/>
  <c r="L1" i="11"/>
  <c r="K55" i="11" s="1"/>
  <c r="AK28" i="11"/>
  <c r="AJ28" i="11"/>
  <c r="AL29" i="11"/>
  <c r="AK29" i="11"/>
  <c r="AJ29" i="11"/>
  <c r="D19" i="9"/>
  <c r="G17" i="9"/>
  <c r="H17" i="9" s="1"/>
  <c r="C17" i="9" s="1"/>
  <c r="D29" i="9"/>
  <c r="G13" i="9"/>
  <c r="H13" i="9" s="1"/>
  <c r="C13" i="9" s="1"/>
  <c r="G31" i="9"/>
  <c r="H31" i="9" s="1"/>
  <c r="C31" i="9" s="1"/>
  <c r="D27" i="9"/>
  <c r="G25" i="9"/>
  <c r="H25" i="9" s="1"/>
  <c r="C25" i="9" s="1"/>
  <c r="D16" i="9"/>
  <c r="D10" i="9"/>
  <c r="D20" i="9"/>
  <c r="G15" i="9"/>
  <c r="H15" i="9" s="1"/>
  <c r="C15" i="9" s="1"/>
  <c r="D11" i="9"/>
  <c r="AB13" i="7"/>
  <c r="AB9" i="7"/>
  <c r="AB5" i="7"/>
  <c r="AB10" i="7"/>
  <c r="AB6" i="7"/>
  <c r="AB11" i="7"/>
  <c r="AB7" i="7"/>
  <c r="AB25" i="6"/>
  <c r="AB23" i="6"/>
  <c r="AB17" i="6"/>
  <c r="AB9" i="6"/>
  <c r="AB26" i="6"/>
  <c r="AB18" i="6"/>
  <c r="AB10" i="6"/>
  <c r="AB12" i="6"/>
  <c r="AB22" i="6"/>
  <c r="AB19" i="6"/>
  <c r="AB13" i="6"/>
  <c r="AB11" i="6"/>
  <c r="AB7" i="6"/>
  <c r="AB5" i="6"/>
  <c r="AB8" i="6"/>
  <c r="AB24" i="6"/>
  <c r="AB14" i="6"/>
  <c r="D22" i="18"/>
  <c r="B23" i="18"/>
  <c r="D17" i="18"/>
  <c r="B18" i="18"/>
  <c r="E7" i="19"/>
  <c r="F7" i="19"/>
  <c r="K103" i="11"/>
  <c r="M103" i="11" s="1"/>
  <c r="N103" i="11" s="1"/>
  <c r="K99" i="11"/>
  <c r="K56" i="11"/>
  <c r="M56" i="11" s="1"/>
  <c r="K66" i="11"/>
  <c r="K36" i="11"/>
  <c r="M36" i="11" s="1"/>
  <c r="K8" i="11"/>
  <c r="M8" i="11" s="1"/>
  <c r="K90" i="11"/>
  <c r="K6" i="11"/>
  <c r="M6" i="11" s="1"/>
  <c r="K10" i="11"/>
  <c r="K5" i="11"/>
  <c r="M5" i="11" s="1"/>
  <c r="K88" i="11"/>
  <c r="K48" i="11"/>
  <c r="M48" i="11" s="1"/>
  <c r="K100" i="11"/>
  <c r="M100" i="11" s="1"/>
  <c r="N100" i="11" s="1"/>
  <c r="K93" i="11"/>
  <c r="K35" i="11"/>
  <c r="M35" i="11" s="1"/>
  <c r="K14" i="11"/>
  <c r="K44" i="11"/>
  <c r="M44" i="11" s="1"/>
  <c r="K84" i="11"/>
  <c r="K71" i="11"/>
  <c r="K33" i="11"/>
  <c r="K40" i="11"/>
  <c r="K70" i="11"/>
  <c r="K95" i="11"/>
  <c r="K78" i="11"/>
  <c r="K97" i="11"/>
  <c r="K26" i="11"/>
  <c r="M26" i="11" s="1"/>
  <c r="K76" i="11"/>
  <c r="K45" i="11"/>
  <c r="K74" i="11"/>
  <c r="K13" i="11"/>
  <c r="M13" i="11" s="1"/>
  <c r="K42" i="11"/>
  <c r="K82" i="11"/>
  <c r="M82" i="11" s="1"/>
  <c r="K11" i="11"/>
  <c r="K61" i="11"/>
  <c r="K49" i="11"/>
  <c r="K80" i="11"/>
  <c r="K69" i="11"/>
  <c r="K79" i="11"/>
  <c r="K39" i="11"/>
  <c r="K77" i="11"/>
  <c r="K37" i="11"/>
  <c r="K102" i="11"/>
  <c r="M102" i="11" s="1"/>
  <c r="N102" i="11" s="1"/>
  <c r="K98" i="11"/>
  <c r="AE98" i="11" s="1"/>
  <c r="K46" i="11"/>
  <c r="M46" i="11" s="1"/>
  <c r="K86" i="11"/>
  <c r="K75" i="11"/>
  <c r="M75" i="11" s="1"/>
  <c r="K23" i="11"/>
  <c r="M23" i="11" s="1"/>
  <c r="K85" i="11"/>
  <c r="K34" i="11"/>
  <c r="K53" i="11"/>
  <c r="M53" i="11" s="1"/>
  <c r="K21" i="11"/>
  <c r="K52" i="11"/>
  <c r="M52" i="11" s="1"/>
  <c r="K41" i="11"/>
  <c r="K62" i="11"/>
  <c r="K50" i="11"/>
  <c r="M50" i="11" s="1"/>
  <c r="K18" i="11"/>
  <c r="K96" i="11"/>
  <c r="M96" i="11" s="1"/>
  <c r="K60" i="11"/>
  <c r="K59" i="11"/>
  <c r="M59" i="11" s="1"/>
  <c r="K58" i="11"/>
  <c r="K57" i="11"/>
  <c r="K17" i="11"/>
  <c r="M17" i="11" s="1"/>
  <c r="AE4" i="11"/>
  <c r="AL4" i="11" s="1"/>
  <c r="G9" i="9"/>
  <c r="H9" i="9" s="1"/>
  <c r="C9" i="9" s="1"/>
  <c r="G24" i="9"/>
  <c r="H24" i="9" s="1"/>
  <c r="C24" i="9" s="1"/>
  <c r="G8" i="9"/>
  <c r="H8" i="9" s="1"/>
  <c r="C8" i="9" s="1"/>
  <c r="D26" i="9"/>
  <c r="D18" i="9"/>
  <c r="G30" i="9"/>
  <c r="H30" i="9" s="1"/>
  <c r="C30" i="9" s="1"/>
  <c r="G22" i="9"/>
  <c r="H22" i="9" s="1"/>
  <c r="C22" i="9" s="1"/>
  <c r="G14" i="9"/>
  <c r="H14" i="9" s="1"/>
  <c r="C14" i="9" s="1"/>
  <c r="Z3" i="9"/>
  <c r="Z4" i="9" s="1"/>
  <c r="Z5" i="9" s="1"/>
  <c r="Y3" i="9"/>
  <c r="X3" i="9"/>
  <c r="W3" i="9"/>
  <c r="W4" i="9" s="1"/>
  <c r="V3" i="9"/>
  <c r="V4" i="9" s="1"/>
  <c r="U3" i="9"/>
  <c r="U4" i="9" s="1"/>
  <c r="U5" i="9" s="1"/>
  <c r="AB3" i="9"/>
  <c r="T3" i="9"/>
  <c r="AA3" i="9"/>
  <c r="E3" i="9"/>
  <c r="K8" i="10"/>
  <c r="P9" i="10"/>
  <c r="P5" i="10"/>
  <c r="K24" i="10"/>
  <c r="L21" i="10"/>
  <c r="S12" i="10"/>
  <c r="T12" i="10" s="1"/>
  <c r="Q11" i="10"/>
  <c r="R11" i="10" s="1"/>
  <c r="S8" i="10"/>
  <c r="T8" i="10" s="1"/>
  <c r="Q7" i="10"/>
  <c r="R7" i="10" s="1"/>
  <c r="S4" i="10"/>
  <c r="T4" i="10" s="1"/>
  <c r="M18" i="10"/>
  <c r="K16" i="10"/>
  <c r="Q12" i="10"/>
  <c r="R12" i="10" s="1"/>
  <c r="S9" i="10"/>
  <c r="T9" i="10" s="1"/>
  <c r="Q8" i="10"/>
  <c r="R8" i="10" s="1"/>
  <c r="S5" i="10"/>
  <c r="T5" i="10" s="1"/>
  <c r="Q4" i="10"/>
  <c r="R4" i="10" s="1"/>
  <c r="L13" i="10"/>
  <c r="L26" i="10"/>
  <c r="M23" i="10"/>
  <c r="K21" i="10"/>
  <c r="L18" i="10"/>
  <c r="M15" i="10"/>
  <c r="K13" i="10"/>
  <c r="L10" i="10"/>
  <c r="M7" i="10"/>
  <c r="K5" i="10"/>
  <c r="K26" i="10"/>
  <c r="L23" i="10"/>
  <c r="M20" i="10"/>
  <c r="K18" i="10"/>
  <c r="L15" i="10"/>
  <c r="M12" i="10"/>
  <c r="K10" i="10"/>
  <c r="L7" i="10"/>
  <c r="M4" i="10"/>
  <c r="M25" i="10"/>
  <c r="K23" i="10"/>
  <c r="L20" i="10"/>
  <c r="M17" i="10"/>
  <c r="M9" i="10"/>
  <c r="K7" i="10"/>
  <c r="L4" i="10"/>
  <c r="L25" i="10"/>
  <c r="M22" i="10"/>
  <c r="K20" i="10"/>
  <c r="L17" i="10"/>
  <c r="M14" i="10"/>
  <c r="K12" i="10"/>
  <c r="L9" i="10"/>
  <c r="M6" i="10"/>
  <c r="K4" i="10"/>
  <c r="K15" i="10"/>
  <c r="M27" i="10"/>
  <c r="K25" i="10"/>
  <c r="L22" i="10"/>
  <c r="M19" i="10"/>
  <c r="K17" i="10"/>
  <c r="L14" i="10"/>
  <c r="M11" i="10"/>
  <c r="K9" i="10"/>
  <c r="L6" i="10"/>
  <c r="M3" i="10"/>
  <c r="L12" i="10"/>
  <c r="L27" i="10"/>
  <c r="M24" i="10"/>
  <c r="K22" i="10"/>
  <c r="L19" i="10"/>
  <c r="M16" i="10"/>
  <c r="K14" i="10"/>
  <c r="L11" i="10"/>
  <c r="M8" i="10"/>
  <c r="K6" i="10"/>
  <c r="L3" i="10"/>
  <c r="K27" i="10"/>
  <c r="L24" i="10"/>
  <c r="M21" i="10"/>
  <c r="K19" i="10"/>
  <c r="L16" i="10"/>
  <c r="M13" i="10"/>
  <c r="K11" i="10"/>
  <c r="L8" i="10"/>
  <c r="M5" i="10"/>
  <c r="K3" i="10"/>
  <c r="J27" i="10"/>
  <c r="J19" i="10"/>
  <c r="J11" i="10"/>
  <c r="J26" i="10"/>
  <c r="J18" i="10"/>
  <c r="J10" i="10"/>
  <c r="J25" i="10"/>
  <c r="J17" i="10"/>
  <c r="J9" i="10"/>
  <c r="J24" i="10"/>
  <c r="J16" i="10"/>
  <c r="J8" i="10"/>
  <c r="J23" i="10"/>
  <c r="J15" i="10"/>
  <c r="J7" i="10"/>
  <c r="J22" i="10"/>
  <c r="J14" i="10"/>
  <c r="J6" i="10"/>
  <c r="J21" i="10"/>
  <c r="J13" i="10"/>
  <c r="J5" i="10"/>
  <c r="J3" i="10"/>
  <c r="J20" i="10"/>
  <c r="J12" i="10"/>
  <c r="J4" i="10"/>
  <c r="Q3" i="10"/>
  <c r="R3" i="10" s="1"/>
  <c r="S3" i="10"/>
  <c r="T3" i="10" s="1"/>
  <c r="T3" i="7"/>
  <c r="U3" i="7"/>
  <c r="AA3" i="7"/>
  <c r="S3" i="7"/>
  <c r="Z3" i="7"/>
  <c r="R3" i="7"/>
  <c r="Y3" i="7"/>
  <c r="X3" i="7"/>
  <c r="W3" i="7"/>
  <c r="Q3" i="7"/>
  <c r="AB4" i="7"/>
  <c r="V3" i="6"/>
  <c r="T3" i="6"/>
  <c r="AA3" i="6"/>
  <c r="S3" i="6"/>
  <c r="Z3" i="6"/>
  <c r="R3" i="6"/>
  <c r="Y3" i="6"/>
  <c r="X3" i="6"/>
  <c r="W3" i="6"/>
  <c r="U3" i="6"/>
  <c r="AB4" i="6"/>
  <c r="K11" i="19"/>
  <c r="AJ3" i="11"/>
  <c r="AF3" i="11"/>
  <c r="K47" i="11"/>
  <c r="X4" i="10"/>
  <c r="K13" i="1"/>
  <c r="K17" i="1" s="1"/>
  <c r="G6" i="19"/>
  <c r="H6" i="19"/>
  <c r="Q3" i="6"/>
  <c r="T1" i="11"/>
  <c r="I14" i="12"/>
  <c r="K14" i="12" s="1"/>
  <c r="S3" i="9"/>
  <c r="D7" i="19"/>
  <c r="AF4" i="11"/>
  <c r="L14" i="12"/>
  <c r="H5" i="19"/>
  <c r="F7" i="9"/>
  <c r="W2" i="10"/>
  <c r="M14" i="12"/>
  <c r="R14" i="12"/>
  <c r="M2" i="12" l="1"/>
  <c r="V25" i="12"/>
  <c r="V19" i="12"/>
  <c r="K6" i="12"/>
  <c r="V7" i="12"/>
  <c r="K12" i="11"/>
  <c r="M12" i="11" s="1"/>
  <c r="K101" i="11"/>
  <c r="M101" i="11" s="1"/>
  <c r="N101" i="11" s="1"/>
  <c r="K83" i="11"/>
  <c r="K104" i="11"/>
  <c r="K7" i="11"/>
  <c r="M7" i="11" s="1"/>
  <c r="K32" i="11"/>
  <c r="K73" i="11"/>
  <c r="K38" i="11"/>
  <c r="K43" i="11"/>
  <c r="M43" i="11" s="1"/>
  <c r="K87" i="11"/>
  <c r="K91" i="11"/>
  <c r="K25" i="11"/>
  <c r="K31" i="11"/>
  <c r="M31" i="11" s="1"/>
  <c r="K22" i="11"/>
  <c r="M22" i="11" s="1"/>
  <c r="N54" i="11"/>
  <c r="K81" i="11"/>
  <c r="K9" i="11"/>
  <c r="M9" i="11" s="1"/>
  <c r="K89" i="11"/>
  <c r="K92" i="11"/>
  <c r="K11" i="12"/>
  <c r="J2" i="12"/>
  <c r="V4" i="12"/>
  <c r="V5" i="12"/>
  <c r="K21" i="12"/>
  <c r="V26" i="12"/>
  <c r="V9" i="12"/>
  <c r="V12" i="12"/>
  <c r="V23" i="12"/>
  <c r="K19" i="12"/>
  <c r="K25" i="12"/>
  <c r="K26" i="12"/>
  <c r="H2" i="12"/>
  <c r="I2" i="12"/>
  <c r="K4" i="12"/>
  <c r="X22" i="12"/>
  <c r="S22" i="12"/>
  <c r="T22" i="12"/>
  <c r="U22" i="12"/>
  <c r="W22" i="12"/>
  <c r="X6" i="12"/>
  <c r="S6" i="12"/>
  <c r="T6" i="12"/>
  <c r="U6" i="12"/>
  <c r="W6" i="12"/>
  <c r="S15" i="12"/>
  <c r="T15" i="12"/>
  <c r="U15" i="12"/>
  <c r="W15" i="12"/>
  <c r="X15" i="12"/>
  <c r="S21" i="12"/>
  <c r="T21" i="12"/>
  <c r="U21" i="12"/>
  <c r="W21" i="12"/>
  <c r="X21" i="12"/>
  <c r="S11" i="12"/>
  <c r="T11" i="12"/>
  <c r="U11" i="12"/>
  <c r="V11" i="12" s="1"/>
  <c r="W11" i="12"/>
  <c r="X11" i="12"/>
  <c r="N36" i="11"/>
  <c r="K30" i="11"/>
  <c r="M30" i="11" s="1"/>
  <c r="K51" i="11"/>
  <c r="M51" i="11" s="1"/>
  <c r="K65" i="11"/>
  <c r="K67" i="11"/>
  <c r="K72" i="11"/>
  <c r="K15" i="11"/>
  <c r="M15" i="11" s="1"/>
  <c r="K68" i="11"/>
  <c r="K63" i="11"/>
  <c r="K24" i="11"/>
  <c r="K28" i="11"/>
  <c r="M28" i="11" s="1"/>
  <c r="K19" i="11"/>
  <c r="M19" i="11" s="1"/>
  <c r="K54" i="11"/>
  <c r="M54" i="11" s="1"/>
  <c r="K94" i="11"/>
  <c r="K64" i="11"/>
  <c r="M64" i="11" s="1"/>
  <c r="K16" i="11"/>
  <c r="M16" i="11" s="1"/>
  <c r="K29" i="11"/>
  <c r="K20" i="11"/>
  <c r="N53" i="11"/>
  <c r="K27" i="11"/>
  <c r="M27" i="11" s="1"/>
  <c r="N27" i="11" s="1"/>
  <c r="AM28" i="11"/>
  <c r="AN28" i="11" s="1"/>
  <c r="AM29" i="11"/>
  <c r="AN29" i="11" s="1"/>
  <c r="M86" i="11"/>
  <c r="M76" i="11"/>
  <c r="M83" i="11"/>
  <c r="M85" i="11"/>
  <c r="M37" i="11"/>
  <c r="M49" i="11"/>
  <c r="M38" i="11"/>
  <c r="AM21" i="11" s="1"/>
  <c r="M71" i="11"/>
  <c r="M14" i="11"/>
  <c r="M104" i="11"/>
  <c r="N104" i="11" s="1"/>
  <c r="AC104" i="11"/>
  <c r="AD104" i="11"/>
  <c r="AE104" i="11"/>
  <c r="M99" i="11"/>
  <c r="N99" i="11" s="1"/>
  <c r="AC99" i="11"/>
  <c r="AE102" i="11"/>
  <c r="M25" i="11"/>
  <c r="M57" i="11"/>
  <c r="M62" i="11"/>
  <c r="N62" i="11" s="1"/>
  <c r="M77" i="11"/>
  <c r="N87" i="11" s="1"/>
  <c r="M61" i="11"/>
  <c r="M74" i="11"/>
  <c r="N74" i="11" s="1"/>
  <c r="M78" i="11"/>
  <c r="AM15" i="11" s="1"/>
  <c r="M81" i="11"/>
  <c r="M87" i="11"/>
  <c r="M10" i="11"/>
  <c r="M92" i="11"/>
  <c r="N92" i="11" s="1"/>
  <c r="AE99" i="11"/>
  <c r="M65" i="11"/>
  <c r="M67" i="11"/>
  <c r="N77" i="11" s="1"/>
  <c r="M72" i="11"/>
  <c r="N46" i="11" s="1"/>
  <c r="M68" i="11"/>
  <c r="M63" i="11"/>
  <c r="M24" i="11"/>
  <c r="AD100" i="11"/>
  <c r="AE100" i="11"/>
  <c r="AE101" i="11"/>
  <c r="M58" i="11"/>
  <c r="N23" i="11" s="1"/>
  <c r="M41" i="11"/>
  <c r="N55" i="11" s="1"/>
  <c r="M39" i="11"/>
  <c r="N18" i="11" s="1"/>
  <c r="M11" i="11"/>
  <c r="M45" i="11"/>
  <c r="M94" i="11"/>
  <c r="M29" i="11"/>
  <c r="M20" i="11"/>
  <c r="M55" i="11"/>
  <c r="AD101" i="11"/>
  <c r="AD99" i="11"/>
  <c r="M79" i="11"/>
  <c r="N22" i="11" s="1"/>
  <c r="M95" i="11"/>
  <c r="AC102" i="11"/>
  <c r="AC100" i="11"/>
  <c r="AD102" i="11"/>
  <c r="M60" i="11"/>
  <c r="N60" i="11" s="1"/>
  <c r="M21" i="11"/>
  <c r="N63" i="11" s="1"/>
  <c r="M69" i="11"/>
  <c r="N26" i="11" s="1"/>
  <c r="M42" i="11"/>
  <c r="M70" i="11"/>
  <c r="M88" i="11"/>
  <c r="N24" i="11" s="1"/>
  <c r="M90" i="11"/>
  <c r="N56" i="11" s="1"/>
  <c r="AC103" i="11"/>
  <c r="M98" i="11"/>
  <c r="N98" i="11" s="1"/>
  <c r="AC98" i="11"/>
  <c r="AD98" i="11"/>
  <c r="M32" i="11"/>
  <c r="M97" i="11"/>
  <c r="N97" i="11" s="1"/>
  <c r="AC97" i="11"/>
  <c r="AD97" i="11"/>
  <c r="AE97" i="11"/>
  <c r="M40" i="11"/>
  <c r="M84" i="11"/>
  <c r="N94" i="11" s="1"/>
  <c r="M93" i="11"/>
  <c r="N96" i="11" s="1"/>
  <c r="M66" i="11"/>
  <c r="AE103" i="11"/>
  <c r="AC101" i="11"/>
  <c r="M18" i="11"/>
  <c r="M34" i="11"/>
  <c r="M80" i="11"/>
  <c r="M73" i="11"/>
  <c r="N66" i="11" s="1"/>
  <c r="M33" i="11"/>
  <c r="N43" i="11" s="1"/>
  <c r="M89" i="11"/>
  <c r="N32" i="11" s="1"/>
  <c r="M91" i="11"/>
  <c r="N64" i="11" s="1"/>
  <c r="AD103" i="11"/>
  <c r="N6" i="11"/>
  <c r="N10" i="11"/>
  <c r="N8" i="11"/>
  <c r="N14" i="11"/>
  <c r="N12" i="11"/>
  <c r="R12" i="11"/>
  <c r="N7" i="11"/>
  <c r="R7" i="11"/>
  <c r="X4" i="9"/>
  <c r="X5" i="9" s="1"/>
  <c r="T4" i="9"/>
  <c r="T5" i="9" s="1"/>
  <c r="Y4" i="9"/>
  <c r="Y5" i="9" s="1"/>
  <c r="AA4" i="9"/>
  <c r="AA5" i="9" s="1"/>
  <c r="V5" i="9"/>
  <c r="W5" i="9"/>
  <c r="AB4" i="9"/>
  <c r="AB5" i="9" s="1"/>
  <c r="AB3" i="7"/>
  <c r="W6" i="10"/>
  <c r="W5" i="10"/>
  <c r="X5" i="10" s="1"/>
  <c r="K19" i="1"/>
  <c r="F3" i="9"/>
  <c r="G7" i="9"/>
  <c r="D7" i="9"/>
  <c r="H7" i="19"/>
  <c r="G7" i="19"/>
  <c r="G15" i="19" s="1"/>
  <c r="G14" i="19" s="1"/>
  <c r="S4" i="9"/>
  <c r="S5" i="9" s="1"/>
  <c r="T14" i="12"/>
  <c r="S14" i="12"/>
  <c r="R2" i="12"/>
  <c r="X14" i="12"/>
  <c r="W14" i="12"/>
  <c r="U14" i="12"/>
  <c r="L2" i="12"/>
  <c r="M47" i="11"/>
  <c r="R11" i="11" s="1"/>
  <c r="V21" i="12" l="1"/>
  <c r="V6" i="12"/>
  <c r="K2" i="12"/>
  <c r="V22" i="12"/>
  <c r="N58" i="11"/>
  <c r="N19" i="11"/>
  <c r="N34" i="11"/>
  <c r="N38" i="11"/>
  <c r="N71" i="11"/>
  <c r="N69" i="11"/>
  <c r="N39" i="11"/>
  <c r="N95" i="11"/>
  <c r="N85" i="11"/>
  <c r="N72" i="11"/>
  <c r="N47" i="11"/>
  <c r="N93" i="11"/>
  <c r="N40" i="11"/>
  <c r="N86" i="11"/>
  <c r="V15" i="12"/>
  <c r="U2" i="12"/>
  <c r="S2" i="12"/>
  <c r="V14" i="12"/>
  <c r="V2" i="12" s="1"/>
  <c r="T2" i="12"/>
  <c r="W2" i="12"/>
  <c r="X2" i="12"/>
  <c r="AF104" i="11"/>
  <c r="AF99" i="11"/>
  <c r="AF101" i="11"/>
  <c r="AF102" i="11"/>
  <c r="N76" i="11"/>
  <c r="N82" i="11"/>
  <c r="N15" i="11"/>
  <c r="N44" i="11"/>
  <c r="R8" i="11"/>
  <c r="N91" i="11"/>
  <c r="N30" i="11"/>
  <c r="N50" i="11"/>
  <c r="N88" i="11"/>
  <c r="N90" i="11"/>
  <c r="N51" i="11"/>
  <c r="N84" i="11"/>
  <c r="N52" i="11"/>
  <c r="N68" i="11"/>
  <c r="N79" i="11"/>
  <c r="R6" i="11"/>
  <c r="N31" i="11"/>
  <c r="N80" i="11"/>
  <c r="N20" i="11"/>
  <c r="N70" i="11"/>
  <c r="S6" i="11"/>
  <c r="T6" i="11" s="1"/>
  <c r="U6" i="11" s="1"/>
  <c r="N48" i="11"/>
  <c r="N83" i="11"/>
  <c r="N42" i="11"/>
  <c r="N28" i="11"/>
  <c r="N78" i="11"/>
  <c r="N59" i="11"/>
  <c r="N11" i="11"/>
  <c r="AF100" i="11"/>
  <c r="N16" i="11"/>
  <c r="N75" i="11"/>
  <c r="N61" i="11"/>
  <c r="N67" i="11"/>
  <c r="N35" i="11"/>
  <c r="AM23" i="11"/>
  <c r="N33" i="11"/>
  <c r="AM18" i="11"/>
  <c r="R13" i="11"/>
  <c r="AF103" i="11"/>
  <c r="N13" i="11"/>
  <c r="AM17" i="11"/>
  <c r="R10" i="11"/>
  <c r="AF97" i="11"/>
  <c r="N21" i="11"/>
  <c r="AM12" i="11"/>
  <c r="AM27" i="11"/>
  <c r="N29" i="11"/>
  <c r="AM20" i="11"/>
  <c r="N25" i="11"/>
  <c r="AM26" i="11"/>
  <c r="N57" i="11"/>
  <c r="AM14" i="11"/>
  <c r="AM11" i="11"/>
  <c r="R5" i="11"/>
  <c r="AM24" i="11"/>
  <c r="R14" i="11"/>
  <c r="R9" i="11"/>
  <c r="N81" i="11"/>
  <c r="AM16" i="11"/>
  <c r="N89" i="11"/>
  <c r="AM25" i="11"/>
  <c r="N9" i="11"/>
  <c r="N37" i="11"/>
  <c r="AM6" i="11"/>
  <c r="N49" i="11"/>
  <c r="S12" i="11" s="1"/>
  <c r="T12" i="11" s="1"/>
  <c r="U12" i="11" s="1"/>
  <c r="AM5" i="11"/>
  <c r="N73" i="11"/>
  <c r="AM13" i="11"/>
  <c r="AM19" i="11"/>
  <c r="AM7" i="11"/>
  <c r="N65" i="11"/>
  <c r="AM10" i="11"/>
  <c r="AF98" i="11"/>
  <c r="N17" i="11"/>
  <c r="AM22" i="11"/>
  <c r="N45" i="11"/>
  <c r="AM8" i="11"/>
  <c r="N41" i="11"/>
  <c r="AM9" i="11"/>
  <c r="N5" i="11"/>
  <c r="S5" i="11" s="1"/>
  <c r="G3" i="9"/>
  <c r="H7" i="9"/>
  <c r="S14" i="11" l="1"/>
  <c r="T14" i="11" s="1"/>
  <c r="U14" i="11" s="1"/>
  <c r="AD15" i="11" s="1"/>
  <c r="S8" i="11"/>
  <c r="T8" i="11" s="1"/>
  <c r="U8" i="11" s="1"/>
  <c r="AD31" i="11" s="1"/>
  <c r="S9" i="11"/>
  <c r="T9" i="11" s="1"/>
  <c r="U9" i="11" s="1"/>
  <c r="AD12" i="11" s="1"/>
  <c r="S7" i="11"/>
  <c r="T7" i="11" s="1"/>
  <c r="U7" i="11" s="1"/>
  <c r="AC23" i="11" s="1"/>
  <c r="AE15" i="11"/>
  <c r="AE23" i="11"/>
  <c r="S13" i="11"/>
  <c r="T13" i="11" s="1"/>
  <c r="U13" i="11" s="1"/>
  <c r="AD14" i="11" s="1"/>
  <c r="S10" i="11"/>
  <c r="T10" i="11" s="1"/>
  <c r="U10" i="11" s="1"/>
  <c r="AE49" i="11" s="1"/>
  <c r="S11" i="11"/>
  <c r="T11" i="11" s="1"/>
  <c r="U11" i="11" s="1"/>
  <c r="AC75" i="11" s="1"/>
  <c r="AE34" i="11"/>
  <c r="AD22" i="11"/>
  <c r="AC34" i="11"/>
  <c r="AD34" i="11"/>
  <c r="AE22" i="11"/>
  <c r="AE90" i="11"/>
  <c r="AC22" i="11"/>
  <c r="AE12" i="11"/>
  <c r="AD10" i="11"/>
  <c r="AC12" i="11"/>
  <c r="AC29" i="11"/>
  <c r="AE35" i="11"/>
  <c r="AE21" i="11"/>
  <c r="AD50" i="11"/>
  <c r="AD21" i="11"/>
  <c r="AC25" i="11"/>
  <c r="AC21" i="11"/>
  <c r="AE73" i="11"/>
  <c r="AC35" i="11"/>
  <c r="AC50" i="11"/>
  <c r="AD25" i="11"/>
  <c r="AE25" i="11"/>
  <c r="AE70" i="11"/>
  <c r="AD35" i="11"/>
  <c r="AC67" i="11"/>
  <c r="AD20" i="11"/>
  <c r="AD95" i="11"/>
  <c r="AC20" i="11"/>
  <c r="AC95" i="11"/>
  <c r="AE76" i="11"/>
  <c r="AC76" i="11"/>
  <c r="AC51" i="11"/>
  <c r="AE20" i="11"/>
  <c r="AD67" i="11"/>
  <c r="AE95" i="11"/>
  <c r="AD51" i="11"/>
  <c r="AE51" i="11"/>
  <c r="AC10" i="11"/>
  <c r="AD24" i="11"/>
  <c r="AC32" i="11"/>
  <c r="AC24" i="11"/>
  <c r="AC72" i="11"/>
  <c r="AE24" i="11"/>
  <c r="AD32" i="11"/>
  <c r="AC96" i="11"/>
  <c r="AE32" i="11"/>
  <c r="AD56" i="11"/>
  <c r="AD64" i="11"/>
  <c r="AD72" i="11"/>
  <c r="AE72" i="11"/>
  <c r="AD96" i="11"/>
  <c r="AE96" i="11"/>
  <c r="AE56" i="11"/>
  <c r="AE64" i="11"/>
  <c r="AC64" i="11"/>
  <c r="AD93" i="11"/>
  <c r="AC88" i="11"/>
  <c r="AD88" i="11"/>
  <c r="AD68" i="11"/>
  <c r="AE93" i="11"/>
  <c r="AE63" i="11"/>
  <c r="AC63" i="11"/>
  <c r="AC93" i="11"/>
  <c r="AD48" i="11"/>
  <c r="AD63" i="11"/>
  <c r="AE68" i="11"/>
  <c r="AE48" i="11"/>
  <c r="AC68" i="11"/>
  <c r="AC48" i="11"/>
  <c r="AE88" i="11"/>
  <c r="AE10" i="11"/>
  <c r="AC16" i="11"/>
  <c r="AE28" i="11"/>
  <c r="AC28" i="11"/>
  <c r="AC71" i="11"/>
  <c r="AD16" i="11"/>
  <c r="AD87" i="11"/>
  <c r="AE16" i="11"/>
  <c r="AC87" i="11"/>
  <c r="AC30" i="11"/>
  <c r="AD30" i="11"/>
  <c r="AE30" i="11"/>
  <c r="AE19" i="11"/>
  <c r="AD28" i="11"/>
  <c r="AC19" i="11"/>
  <c r="AD71" i="11"/>
  <c r="AD19" i="11"/>
  <c r="AE71" i="11"/>
  <c r="AE87" i="11"/>
  <c r="AE13" i="11"/>
  <c r="AD13" i="11"/>
  <c r="AC13" i="11"/>
  <c r="AD11" i="11"/>
  <c r="AC11" i="11"/>
  <c r="AE11" i="11"/>
  <c r="C7" i="9"/>
  <c r="H3" i="9"/>
  <c r="T5" i="11"/>
  <c r="AD77" i="11" l="1"/>
  <c r="AD79" i="11"/>
  <c r="AD85" i="11"/>
  <c r="AC56" i="11"/>
  <c r="AE54" i="11"/>
  <c r="AD80" i="11"/>
  <c r="AD78" i="11"/>
  <c r="AF78" i="11" s="1"/>
  <c r="AC85" i="11"/>
  <c r="AC79" i="11"/>
  <c r="AC81" i="11"/>
  <c r="AE80" i="11"/>
  <c r="AC80" i="11"/>
  <c r="AC77" i="11"/>
  <c r="AD54" i="11"/>
  <c r="AD81" i="11"/>
  <c r="AE77" i="11"/>
  <c r="AC78" i="11"/>
  <c r="AE81" i="11"/>
  <c r="AE79" i="11"/>
  <c r="AC40" i="11"/>
  <c r="AE43" i="11"/>
  <c r="AC38" i="11"/>
  <c r="AE39" i="11"/>
  <c r="AD37" i="11"/>
  <c r="AC42" i="11"/>
  <c r="AE40" i="11"/>
  <c r="AC43" i="11"/>
  <c r="AC44" i="11"/>
  <c r="AE44" i="11"/>
  <c r="AE37" i="11"/>
  <c r="AD38" i="11"/>
  <c r="AF38" i="11" s="1"/>
  <c r="AE38" i="11"/>
  <c r="AD45" i="11"/>
  <c r="AD43" i="11"/>
  <c r="AC39" i="11"/>
  <c r="AD44" i="11"/>
  <c r="AC37" i="11"/>
  <c r="AD40" i="11"/>
  <c r="AD39" i="11"/>
  <c r="AK15" i="11" s="1"/>
  <c r="AE45" i="11"/>
  <c r="AC15" i="11"/>
  <c r="AE27" i="11"/>
  <c r="AC70" i="11"/>
  <c r="AF22" i="11"/>
  <c r="AE31" i="11"/>
  <c r="AC90" i="11"/>
  <c r="AE75" i="11"/>
  <c r="AD59" i="11"/>
  <c r="AE62" i="11"/>
  <c r="AD73" i="11"/>
  <c r="AD75" i="11"/>
  <c r="AF75" i="11" s="1"/>
  <c r="AC27" i="11"/>
  <c r="AK6" i="11"/>
  <c r="AE67" i="11"/>
  <c r="AF67" i="11" s="1"/>
  <c r="AD76" i="11"/>
  <c r="AF76" i="11" s="1"/>
  <c r="AD70" i="11"/>
  <c r="AD57" i="11"/>
  <c r="AD27" i="11"/>
  <c r="AE59" i="11"/>
  <c r="AC59" i="11"/>
  <c r="AC73" i="11"/>
  <c r="AF73" i="11" s="1"/>
  <c r="AD90" i="11"/>
  <c r="AF90" i="11" s="1"/>
  <c r="AC31" i="11"/>
  <c r="AF31" i="11" s="1"/>
  <c r="AE65" i="11"/>
  <c r="AE57" i="11"/>
  <c r="AC91" i="11"/>
  <c r="AD91" i="11"/>
  <c r="AC66" i="11"/>
  <c r="AC62" i="11"/>
  <c r="AE91" i="11"/>
  <c r="AF12" i="11"/>
  <c r="AF48" i="11"/>
  <c r="AE86" i="11"/>
  <c r="AD65" i="11"/>
  <c r="AC65" i="11"/>
  <c r="AE42" i="11"/>
  <c r="AD62" i="11"/>
  <c r="AC57" i="11"/>
  <c r="AF57" i="11" s="1"/>
  <c r="AD53" i="11"/>
  <c r="AC53" i="11"/>
  <c r="AE85" i="11"/>
  <c r="AE78" i="11"/>
  <c r="AC45" i="11"/>
  <c r="AE47" i="11"/>
  <c r="AC83" i="11"/>
  <c r="AE53" i="11"/>
  <c r="AF10" i="11"/>
  <c r="AE50" i="11"/>
  <c r="AC54" i="11"/>
  <c r="AD42" i="11"/>
  <c r="AD23" i="11"/>
  <c r="AD83" i="11"/>
  <c r="AC47" i="11"/>
  <c r="AE83" i="11"/>
  <c r="AC49" i="11"/>
  <c r="AD47" i="11"/>
  <c r="AF15" i="11"/>
  <c r="AD49" i="11"/>
  <c r="AE69" i="11"/>
  <c r="AD18" i="11"/>
  <c r="AE33" i="11"/>
  <c r="AD61" i="11"/>
  <c r="AE94" i="11"/>
  <c r="AE58" i="11"/>
  <c r="AC18" i="11"/>
  <c r="AE55" i="11"/>
  <c r="AC82" i="11"/>
  <c r="AC55" i="11"/>
  <c r="AC33" i="11"/>
  <c r="AD82" i="11"/>
  <c r="AC58" i="11"/>
  <c r="AD69" i="11"/>
  <c r="AD33" i="11"/>
  <c r="AE18" i="11"/>
  <c r="AE82" i="11"/>
  <c r="AD94" i="11"/>
  <c r="AD58" i="11"/>
  <c r="AC69" i="11"/>
  <c r="AJ26" i="11" s="1"/>
  <c r="AE61" i="11"/>
  <c r="AD55" i="11"/>
  <c r="AC94" i="11"/>
  <c r="AC61" i="11"/>
  <c r="AF30" i="11"/>
  <c r="AF16" i="11"/>
  <c r="AF88" i="11"/>
  <c r="AC26" i="11"/>
  <c r="AC41" i="11"/>
  <c r="AC86" i="11"/>
  <c r="AF34" i="11"/>
  <c r="AE46" i="11"/>
  <c r="AD29" i="11"/>
  <c r="AD26" i="11"/>
  <c r="AK7" i="11"/>
  <c r="AL7" i="11"/>
  <c r="AF50" i="11"/>
  <c r="AE29" i="11"/>
  <c r="AD66" i="11"/>
  <c r="AD86" i="11"/>
  <c r="AJ15" i="11"/>
  <c r="AF43" i="11"/>
  <c r="AE74" i="11"/>
  <c r="AC17" i="11"/>
  <c r="AJ12" i="11" s="1"/>
  <c r="AC89" i="11"/>
  <c r="AL21" i="11"/>
  <c r="AF35" i="11"/>
  <c r="AC74" i="11"/>
  <c r="AE17" i="11"/>
  <c r="AE26" i="11"/>
  <c r="AE66" i="11"/>
  <c r="AF66" i="11" s="1"/>
  <c r="AC14" i="11"/>
  <c r="AF28" i="11"/>
  <c r="AE14" i="11"/>
  <c r="AK27" i="11"/>
  <c r="AE41" i="11"/>
  <c r="AD41" i="11"/>
  <c r="AK26" i="11" s="1"/>
  <c r="AD46" i="11"/>
  <c r="AD74" i="11"/>
  <c r="AF23" i="11"/>
  <c r="AD89" i="11"/>
  <c r="AD17" i="11"/>
  <c r="AC46" i="11"/>
  <c r="AE89" i="11"/>
  <c r="AF19" i="11"/>
  <c r="AF87" i="11"/>
  <c r="AF77" i="11"/>
  <c r="AF44" i="11"/>
  <c r="AF56" i="11"/>
  <c r="AL27" i="11"/>
  <c r="AF25" i="11"/>
  <c r="AF37" i="11"/>
  <c r="AJ6" i="11"/>
  <c r="AF72" i="11"/>
  <c r="AF68" i="11"/>
  <c r="AF93" i="11"/>
  <c r="AF24" i="11"/>
  <c r="AF95" i="11"/>
  <c r="AJ22" i="11"/>
  <c r="AL15" i="11"/>
  <c r="AJ21" i="11"/>
  <c r="AF63" i="11"/>
  <c r="AF64" i="11"/>
  <c r="AF32" i="11"/>
  <c r="AF20" i="11"/>
  <c r="AF40" i="11"/>
  <c r="AF70" i="11"/>
  <c r="AL22" i="11"/>
  <c r="AK10" i="11"/>
  <c r="AF65" i="11"/>
  <c r="AL6" i="11"/>
  <c r="AF71" i="11"/>
  <c r="AF21" i="11"/>
  <c r="AF45" i="11"/>
  <c r="AF81" i="11"/>
  <c r="AF96" i="11"/>
  <c r="AF59" i="11"/>
  <c r="AF80" i="11"/>
  <c r="AF85" i="11"/>
  <c r="AF86" i="11"/>
  <c r="AF54" i="11"/>
  <c r="AF79" i="11"/>
  <c r="AF51" i="11"/>
  <c r="AF29" i="11"/>
  <c r="AF11" i="11"/>
  <c r="AF13" i="11"/>
  <c r="T4" i="11"/>
  <c r="U5" i="11"/>
  <c r="AC6" i="11" s="1"/>
  <c r="AK22" i="11" l="1"/>
  <c r="AF17" i="11"/>
  <c r="AF26" i="11"/>
  <c r="AL12" i="11"/>
  <c r="AF39" i="11"/>
  <c r="AK21" i="11"/>
  <c r="AN21" i="11" s="1"/>
  <c r="AL10" i="11"/>
  <c r="AJ7" i="11"/>
  <c r="AN7" i="11" s="1"/>
  <c r="AJ10" i="11"/>
  <c r="AF62" i="11"/>
  <c r="AL26" i="11"/>
  <c r="AN26" i="11" s="1"/>
  <c r="AK19" i="11"/>
  <c r="AF27" i="11"/>
  <c r="AF91" i="11"/>
  <c r="AF41" i="11"/>
  <c r="AF42" i="11"/>
  <c r="AF46" i="11"/>
  <c r="AF47" i="11"/>
  <c r="AK12" i="11"/>
  <c r="AN12" i="11" s="1"/>
  <c r="AF74" i="11"/>
  <c r="AF89" i="11"/>
  <c r="AF53" i="11"/>
  <c r="AF49" i="11"/>
  <c r="AD6" i="11"/>
  <c r="AE6" i="11"/>
  <c r="AN15" i="11"/>
  <c r="AC8" i="11"/>
  <c r="AE8" i="11"/>
  <c r="AD8" i="11"/>
  <c r="AC7" i="11"/>
  <c r="AE7" i="11"/>
  <c r="AD7" i="11"/>
  <c r="AC9" i="11"/>
  <c r="AD9" i="11"/>
  <c r="AE9" i="11"/>
  <c r="AF83" i="11"/>
  <c r="AF94" i="11"/>
  <c r="AF18" i="11"/>
  <c r="AL19" i="11"/>
  <c r="AF58" i="11"/>
  <c r="AF14" i="11"/>
  <c r="AF69" i="11"/>
  <c r="AJ27" i="11"/>
  <c r="AN27" i="11" s="1"/>
  <c r="AF33" i="11"/>
  <c r="AF55" i="11"/>
  <c r="AF61" i="11"/>
  <c r="AJ19" i="11"/>
  <c r="AN19" i="11" s="1"/>
  <c r="AF82" i="11"/>
  <c r="AC60" i="11"/>
  <c r="AJ9" i="11" s="1"/>
  <c r="AD52" i="11"/>
  <c r="AK20" i="11" s="1"/>
  <c r="AD36" i="11"/>
  <c r="AK17" i="11" s="1"/>
  <c r="AC92" i="11"/>
  <c r="AD92" i="11"/>
  <c r="AK8" i="11" s="1"/>
  <c r="AE84" i="11"/>
  <c r="AC84" i="11"/>
  <c r="AJ13" i="11" s="1"/>
  <c r="AC36" i="11"/>
  <c r="AJ23" i="11" s="1"/>
  <c r="AC52" i="11"/>
  <c r="AJ20" i="11" s="1"/>
  <c r="AE52" i="11"/>
  <c r="AL20" i="11" s="1"/>
  <c r="AE60" i="11"/>
  <c r="AE36" i="11"/>
  <c r="AL17" i="11" s="1"/>
  <c r="AD60" i="11"/>
  <c r="AE92" i="11"/>
  <c r="AL8" i="11" s="1"/>
  <c r="AD84" i="11"/>
  <c r="AN22" i="11"/>
  <c r="AN10" i="11"/>
  <c r="AN6" i="11"/>
  <c r="AD5" i="11"/>
  <c r="AK24" i="11" s="1"/>
  <c r="AE5" i="11"/>
  <c r="AL24" i="11" s="1"/>
  <c r="AC5" i="11"/>
  <c r="AJ24" i="11" s="1"/>
  <c r="AN20" i="11" l="1"/>
  <c r="AJ17" i="11"/>
  <c r="AN17" i="11" s="1"/>
  <c r="AJ11" i="11"/>
  <c r="AJ8" i="11"/>
  <c r="AN8" i="11" s="1"/>
  <c r="AK25" i="11"/>
  <c r="AF6" i="11"/>
  <c r="AL5" i="11"/>
  <c r="AK5" i="11"/>
  <c r="AK14" i="11"/>
  <c r="AK9" i="11"/>
  <c r="AF8" i="11"/>
  <c r="AL18" i="11"/>
  <c r="AL23" i="11"/>
  <c r="AL14" i="11"/>
  <c r="AL9" i="11"/>
  <c r="AK18" i="11"/>
  <c r="AK23" i="11"/>
  <c r="AF9" i="11"/>
  <c r="AK16" i="11"/>
  <c r="AK13" i="11"/>
  <c r="AF7" i="11"/>
  <c r="AL25" i="11"/>
  <c r="AL11" i="11"/>
  <c r="AL16" i="11"/>
  <c r="AL13" i="11"/>
  <c r="AK11" i="11"/>
  <c r="AN24" i="11"/>
  <c r="AF92" i="11"/>
  <c r="AJ25" i="11"/>
  <c r="AF52" i="11"/>
  <c r="AJ5" i="11"/>
  <c r="AF60" i="11"/>
  <c r="AJ14" i="11"/>
  <c r="AN14" i="11" s="1"/>
  <c r="AF36" i="11"/>
  <c r="AJ18" i="11"/>
  <c r="AF84" i="11"/>
  <c r="AJ16" i="11"/>
  <c r="AF5" i="11"/>
  <c r="AN5" i="11" l="1"/>
  <c r="AN23" i="11"/>
  <c r="AN16" i="11"/>
  <c r="AN25" i="11"/>
  <c r="AN13" i="11"/>
  <c r="AN18" i="11"/>
  <c r="AN11" i="11"/>
  <c r="AN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tc={4B3707F0-E843-4931-8CDE-A207D1AAAFA8}</author>
    <author>tc={4C102B0C-01A4-4591-9B72-9CD3CBD10F75}</author>
    <author>tc={A1B175E7-A75E-43EB-886C-E4D932013F76}</author>
  </authors>
  <commentList>
    <comment ref="C4" authorId="0" shapeId="0" xr:uid="{4B3707F0-E843-4931-8CDE-A207D1AAAFA8}">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4C102B0C-01A4-4591-9B72-9CD3CBD10F75}">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A1B175E7-A75E-43EB-886C-E4D932013F76}">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tc={26879812-C8B4-497E-B44A-EC597C753B59}</author>
  </authors>
  <commentList>
    <comment ref="AO4" authorId="0" shapeId="0" xr:uid="{26879812-C8B4-497E-B44A-EC597C753B59}">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tc={17F71723-8751-4002-8DCD-FD38FA109422}</author>
  </authors>
  <commentList>
    <comment ref="A1" authorId="0" shapeId="0" xr:uid="{17F71723-8751-4002-8DCD-FD38FA109422}">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tc={FD93651C-F4AE-47E5-8857-190AF642006C}</author>
    <author>tc={A7ACB370-4238-44B6-AD47-B145B137B7FD}</author>
    <author>tc={8160F46B-AA73-4352-8EDB-DE3CC89F30EE}</author>
    <author>tc={D74E44BC-BAAF-4D4E-BCA0-215F1B15132E}</author>
    <author>tc={F9B28200-8851-4A5E-80C6-F0502DEDE2E0}</author>
  </authors>
  <commentList>
    <comment ref="C1" authorId="0" shapeId="0" xr:uid="{FD93651C-F4AE-47E5-8857-190AF642006C}">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A7ACB370-4238-44B6-AD47-B145B137B7FD}">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8160F46B-AA73-4352-8EDB-DE3CC89F30EE}">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D74E44BC-BAAF-4D4E-BCA0-215F1B15132E}">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F9B28200-8851-4A5E-80C6-F0502DEDE2E0}">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tc={5036F22F-A1D8-4726-9124-6CE993C529D2}</author>
    <author>tc={99FADF1A-B49E-42CD-BF61-25EB3F264DD3}</author>
  </authors>
  <commentList>
    <comment ref="A3" authorId="0" shapeId="0" xr:uid="{5036F22F-A1D8-4726-9124-6CE993C529D2}">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99FADF1A-B49E-42CD-BF61-25EB3F264DD3}">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tc={4989FA9E-C9C5-42A0-9B5D-8F4B615116D0}</author>
  </authors>
  <commentList>
    <comment ref="A3" authorId="0" shapeId="0" xr:uid="{4989FA9E-C9C5-42A0-9B5D-8F4B615116D0}">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tc={298989C8-8FA1-4304-B5AA-628436A196D5}</author>
    <author>tc={14A65D89-9D5D-401E-A5FA-171486607DF5}</author>
  </authors>
  <commentList>
    <comment ref="A1" authorId="0" shapeId="0" xr:uid="{298989C8-8FA1-4304-B5AA-628436A196D5}">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14A65D89-9D5D-401E-A5FA-171486607DF5}">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tc={D4B83801-332A-4A9C-885D-9C951E629DF1}</author>
    <author>tc={0490438E-6F94-4FFA-94A3-6FC461F6A576}</author>
    <author>tc={F49E5877-37B3-46CE-8CCF-5C0AEA12E266}</author>
    <author>tc={74909007-16B7-43A9-8826-43E921207359}</author>
  </authors>
  <commentList>
    <comment ref="D2" authorId="0" shapeId="0" xr:uid="{D4B83801-332A-4A9C-885D-9C951E629DF1}">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0490438E-6F94-4FFA-94A3-6FC461F6A576}">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F49E5877-37B3-46CE-8CCF-5C0AEA12E266}">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74909007-16B7-43A9-8826-43E921207359}">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tc={25F53BF8-DB63-4001-8092-442FBBB049AE}</author>
    <author>tc={862617D7-01A6-4429-95C3-4DD23B083638}</author>
  </authors>
  <commentList>
    <comment ref="C4" authorId="0" shapeId="0" xr:uid="{25F53BF8-DB63-4001-8092-442FBBB049AE}">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Q4" authorId="1" shapeId="0" xr:uid="{862617D7-01A6-4429-95C3-4DD23B083638}">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tc={CD37EB99-B46A-478B-A0A7-0EC0B4F62AD3}</author>
    <author>tc={B30476F5-7016-4D81-8954-7BECFEE30A14}</author>
  </authors>
  <commentList>
    <comment ref="C4" authorId="0" shapeId="0" xr:uid="{CD37EB99-B46A-478B-A0A7-0EC0B4F62AD3}">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Q4" authorId="1" shapeId="0" xr:uid="{B30476F5-7016-4D81-8954-7BECFEE30A14}">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tc={E1FDD1D1-0F1D-4C4C-AA24-3CECF2C2BB27}</author>
  </authors>
  <commentList>
    <comment ref="N7" authorId="0" shapeId="0" xr:uid="{E1FDD1D1-0F1D-4C4C-AA24-3CECF2C2BB27}">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tc={6EA36E44-B362-4C30-BC28-884A488E20BC}</author>
    <author>tc={429AF905-B4ED-4456-BA26-328C49F37DC8}</author>
    <author>tc={6071A900-66DE-40EF-B8B6-10C7AFA7E88F}</author>
    <author>tc={FC3AA66B-67AC-4DED-B3DC-8C5C9C00196E}</author>
    <author>tc={EA1AA264-868B-4DC1-99B7-5C21D25CBF0A}</author>
    <author>tc={BBF38158-ED81-42FF-93E5-30386B39B74B}</author>
    <author>tc={B8B0C316-8267-47D2-8866-1AAFE98E8876}</author>
    <author>tc={95145D8E-A56F-4185-A8FB-5AFE8F63F572}</author>
    <author>tc={A334D3C0-2C96-4D86-AD9B-60C614813F68}</author>
  </authors>
  <commentList>
    <comment ref="E1" authorId="0" shapeId="0" xr:uid="{6EA36E44-B362-4C30-BC28-884A488E20BC}">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429AF905-B4ED-4456-BA26-328C49F37DC8}">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6071A900-66DE-40EF-B8B6-10C7AFA7E88F}">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FC3AA66B-67AC-4DED-B3DC-8C5C9C00196E}">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EA1AA264-868B-4DC1-99B7-5C21D25CBF0A}">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BBF38158-ED81-42FF-93E5-30386B39B74B}">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B8B0C316-8267-47D2-8866-1AAFE98E8876}">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95145D8E-A56F-4185-A8FB-5AFE8F63F572}">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A334D3C0-2C96-4D86-AD9B-60C614813F68}">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<sst xmlns="http://schemas.openxmlformats.org/spreadsheetml/2006/main" count="1125" uniqueCount="369">
  <si>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</si>
  <si>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</si>
  <si>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</si>
  <si>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</si>
  <si>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</si>
  <si>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</si>
  <si>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</si>
  <si>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</si>
  <si>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</si>
  <si>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</si>
  <si>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</si>
  <si>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</si>
  <si>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</si>
  <si>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</si>
  <si>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</si>
  <si>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</si>
  <si>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</si>
  <si>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</si>
  <si>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</si>
  <si>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</si>
  <si>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</si>
  <si>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</si>
  <si>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</si>
  <si>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</si>
  <si>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</si>
  <si>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</si>
  <si>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</si>
  <si>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</si>
  <si>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</si>
  <si>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</si>
  <si>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</si>
  <si>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</si>
  <si>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</si>
  <si>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</si>
  <si>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</si>
  <si>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</si>
  <si>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</si>
  <si>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</si>
  <si>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</si>
  <si>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</si>
  <si>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</si>
  <si>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</si>
  <si>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</si>
  <si>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</si>
  <si>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</si>
  <si>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</si>
  <si>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</si>
  <si>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</si>
  <si>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</si>
  <si>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</si>
  <si>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</si>
  <si>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</si>
  <si>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</si>
  <si>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</si>
  <si>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</si>
  <si>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</si>
  <si>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</si>
  <si>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</si>
  <si>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</si>
  <si>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</si>
  <si>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</si>
  <si>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</si>
  <si>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</si>
  <si>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</si>
  <si>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</si>
  <si>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</si>
  <si>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DO NOT MODIFY THESE ENTRIES</t>
  </si>
  <si>
    <t>(Used to populate headers in the scoresheets)</t>
  </si>
  <si>
    <t>Nosh</t>
  </si>
  <si>
    <t>Project #</t>
  </si>
  <si>
    <t>Mentor's Marker #</t>
  </si>
  <si>
    <t>TAGS</t>
  </si>
  <si>
    <t>Number of projects</t>
  </si>
  <si>
    <t>Project Name</t>
  </si>
  <si>
    <t>Contact Name</t>
  </si>
  <si>
    <t>Organization</t>
  </si>
  <si>
    <t>Contact Email</t>
  </si>
  <si>
    <t>Description</t>
  </si>
  <si>
    <t>Sub-competition</t>
  </si>
  <si>
    <t>bonus topic 1</t>
  </si>
  <si>
    <t>bonus aspect 2</t>
  </si>
  <si>
    <t>Project 1</t>
  </si>
  <si>
    <t>Kristyn Sergio</t>
  </si>
  <si>
    <t>Carleton University</t>
  </si>
  <si>
    <t>fraterk@sbcglobal.net</t>
  </si>
  <si>
    <t>Project 2</t>
  </si>
  <si>
    <t>Chu Vanallen</t>
  </si>
  <si>
    <t>Cégep de Chicoutimi</t>
  </si>
  <si>
    <t>kassiesa@outlook.com</t>
  </si>
  <si>
    <t>Project 3</t>
  </si>
  <si>
    <t>Yetta Cisneros</t>
  </si>
  <si>
    <t>Cégep de Sainte-Foy</t>
  </si>
  <si>
    <t>lcheng@yahoo.com</t>
  </si>
  <si>
    <t>Project 4</t>
  </si>
  <si>
    <t>Henriette Wilford</t>
  </si>
  <si>
    <t>Cégep de Shawinigan</t>
  </si>
  <si>
    <t>isotopian@live.com</t>
  </si>
  <si>
    <t>Project 5</t>
  </si>
  <si>
    <t>Era Vandervoort</t>
  </si>
  <si>
    <t>Cégep de Sherbrooke</t>
  </si>
  <si>
    <t>parksh@att.net</t>
  </si>
  <si>
    <t>Project 6</t>
  </si>
  <si>
    <t>Elmer Seawood</t>
  </si>
  <si>
    <t>Collège de Rosemont</t>
  </si>
  <si>
    <t>violinhi@optonline.net</t>
  </si>
  <si>
    <t>Project 7</t>
  </si>
  <si>
    <t>Aldo Range</t>
  </si>
  <si>
    <t>Collège Montmorency</t>
  </si>
  <si>
    <t>aegreene@verizon.net</t>
  </si>
  <si>
    <t>Project 8</t>
  </si>
  <si>
    <t>Dena Demas</t>
  </si>
  <si>
    <t>John Abbott College</t>
  </si>
  <si>
    <t>sekiya@optonline.net</t>
  </si>
  <si>
    <t>Project 9</t>
  </si>
  <si>
    <t>Gerard Cutright</t>
  </si>
  <si>
    <t>Lakehead University</t>
  </si>
  <si>
    <t>damian@yahoo.ca</t>
  </si>
  <si>
    <t>Project 10</t>
  </si>
  <si>
    <t>Rueben Dagenhart</t>
  </si>
  <si>
    <t>McMaster University</t>
  </si>
  <si>
    <t>noodles@me.com</t>
  </si>
  <si>
    <t>Project 11</t>
  </si>
  <si>
    <t>Mariella Seibel</t>
  </si>
  <si>
    <t>Redeemer University</t>
  </si>
  <si>
    <t>danny@outlook.com</t>
  </si>
  <si>
    <t>Project 12</t>
  </si>
  <si>
    <t>Shanta Monterrosa</t>
  </si>
  <si>
    <t>Athabasca University</t>
  </si>
  <si>
    <t>miltchev@me.com</t>
  </si>
  <si>
    <t>Project 13</t>
  </si>
  <si>
    <t>Danica Lando</t>
  </si>
  <si>
    <t>Capilano University*</t>
  </si>
  <si>
    <t>okroeger@yahoo.ca</t>
  </si>
  <si>
    <t>Project 14</t>
  </si>
  <si>
    <t>Roger Richart</t>
  </si>
  <si>
    <t>Cégep de Baie-Comeau</t>
  </si>
  <si>
    <t>fwitness@outlook.com</t>
  </si>
  <si>
    <t>Project 15</t>
  </si>
  <si>
    <t>Letisha Gulick</t>
  </si>
  <si>
    <t>Cégep de l’Outaouais</t>
  </si>
  <si>
    <t>jfmulder@live.com</t>
  </si>
  <si>
    <t>Project 16</t>
  </si>
  <si>
    <t>Terica Cathcart</t>
  </si>
  <si>
    <t>Cégep de Sorel-Tracy</t>
  </si>
  <si>
    <t>chaffar@live.com</t>
  </si>
  <si>
    <t>Project 17</t>
  </si>
  <si>
    <t>Cecilia Argueta</t>
  </si>
  <si>
    <t>Cégep Marie-Victorin</t>
  </si>
  <si>
    <t>dwheeler@att.net</t>
  </si>
  <si>
    <t>Project 18</t>
  </si>
  <si>
    <t>Janella Heeter</t>
  </si>
  <si>
    <t>Concordia University</t>
  </si>
  <si>
    <t>enintend@me.com</t>
  </si>
  <si>
    <t>Project 19</t>
  </si>
  <si>
    <t>Reta Godard</t>
  </si>
  <si>
    <t>Dalhousie University</t>
  </si>
  <si>
    <t>payned@comcast.net</t>
  </si>
  <si>
    <t>Project 20</t>
  </si>
  <si>
    <t>Irene Eagles</t>
  </si>
  <si>
    <t>George Brown College</t>
  </si>
  <si>
    <t>eurohack@msn.com</t>
  </si>
  <si>
    <t>Project 21</t>
  </si>
  <si>
    <t>Christin Mabrey</t>
  </si>
  <si>
    <t>Medicine Hat College</t>
  </si>
  <si>
    <t>eabrown@yahoo.ca</t>
  </si>
  <si>
    <t>Project 22</t>
  </si>
  <si>
    <t>Jinny Dilorenzo</t>
  </si>
  <si>
    <t>Nipissing University</t>
  </si>
  <si>
    <t>rhavyn@me.com</t>
  </si>
  <si>
    <t>Project 23</t>
  </si>
  <si>
    <t>Yajaira Abbe</t>
  </si>
  <si>
    <t>North Island College</t>
  </si>
  <si>
    <t>kostas@hotmail.com</t>
  </si>
  <si>
    <t>Project 24</t>
  </si>
  <si>
    <t>Misti Joslyn</t>
  </si>
  <si>
    <t>St. Lawrence College</t>
  </si>
  <si>
    <t>tsuruta@icloud.com</t>
  </si>
  <si>
    <t>Project 25</t>
  </si>
  <si>
    <t>Norbert Trice</t>
  </si>
  <si>
    <t>University of Guelph</t>
  </si>
  <si>
    <t>mcrawfor@aol.com</t>
  </si>
  <si>
    <t>Marker #</t>
  </si>
  <si>
    <t>Marker Name</t>
  </si>
  <si>
    <t># of teams mentoring</t>
  </si>
  <si>
    <t>Number of Markers</t>
  </si>
  <si>
    <t>Cégep de Saint-Hyacinthe</t>
  </si>
  <si>
    <t>carreras@me.com</t>
  </si>
  <si>
    <t>College of New Caledonia</t>
  </si>
  <si>
    <t>mcsporran@optonline.net</t>
  </si>
  <si>
    <t>Grant MacEwan University</t>
  </si>
  <si>
    <t>rgiersig@mac.com</t>
  </si>
  <si>
    <t>Mount Allison University</t>
  </si>
  <si>
    <t>storerm@gmail.com</t>
  </si>
  <si>
    <t>Saskatchewan Polytechnic</t>
  </si>
  <si>
    <t>rnewman@att.net</t>
  </si>
  <si>
    <t>Université de Sherbrooke</t>
  </si>
  <si>
    <t>demmel@att.net</t>
  </si>
  <si>
    <t>University of Lethbridge</t>
  </si>
  <si>
    <t>houle@mac.com</t>
  </si>
  <si>
    <t>Parkland Regional College</t>
  </si>
  <si>
    <t>philb@yahoo.ca</t>
  </si>
  <si>
    <t>Champlain Regional College</t>
  </si>
  <si>
    <t>zwood@att.net</t>
  </si>
  <si>
    <t>The University of Winnipeg</t>
  </si>
  <si>
    <t>tangsh@comcast.net</t>
  </si>
  <si>
    <t>List the Keywords Important for this Competition</t>
  </si>
  <si>
    <t>Keyword #</t>
  </si>
  <si>
    <t>Broad areas</t>
  </si>
  <si>
    <t>Subtopics</t>
  </si>
  <si>
    <t>Subtopic Weight</t>
  </si>
  <si>
    <t># of keywords</t>
  </si>
  <si>
    <t>Sum of weights</t>
  </si>
  <si>
    <t>Keyword 1</t>
  </si>
  <si>
    <t>Keyword 2</t>
  </si>
  <si>
    <t>Keyword 3</t>
  </si>
  <si>
    <t>Keyword 4</t>
  </si>
  <si>
    <t>Keyword 5</t>
  </si>
  <si>
    <t>Keyword 6</t>
  </si>
  <si>
    <t>Keyword 7</t>
  </si>
  <si>
    <t>Keyword 8</t>
  </si>
  <si>
    <t>Keyword 9</t>
  </si>
  <si>
    <t>Keyword 10</t>
  </si>
  <si>
    <t>Keyword 11</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</si>
  <si>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</si>
  <si>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</si>
  <si>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</si>
  <si>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</si>
  <si>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</si>
  <si>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</si>
  <si>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</si>
  <si>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</si>
  <si>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</si>
  <si>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</si>
  <si>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</si>
  <si>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</si>
  <si>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</si>
  <si>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</si>
  <si>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</si>
  <si>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</si>
  <si>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</si>
  <si>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</si>
  <si>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</si>
  <si>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</si>
  <si>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</si>
  <si>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</si>
  <si>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</si>
  <si>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</si>
  <si>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</si>
  <si>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</si>
  <si>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</si>
  <si>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</si>
  <si>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</si>
  <si>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</si>
  <si>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</si>
  <si>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</si>
  <si>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</si>
  <si>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</si>
  <si>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</si>
  <si>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</si>
  <si>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</si>
  <si>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</si>
  <si>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</si>
  <si>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</si>
  <si>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</si>
  <si>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</si>
  <si>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</si>
  <si>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</si>
  <si>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</si>
  <si>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</si>
  <si>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</si>
  <si>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</si>
  <si>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</si>
  <si>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</si>
  <si>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</si>
  <si>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</si>
  <si>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All Criteria Scored?</t>
  </si>
  <si>
    <t># scores            MAX-&gt;</t>
  </si>
  <si>
    <t># Useful Scores</t>
  </si>
  <si>
    <t>Sum of scores</t>
  </si>
  <si>
    <t># of scores used</t>
  </si>
  <si>
    <t>Total of Scores</t>
  </si>
  <si>
    <t>Average</t>
  </si>
  <si>
    <t>Normalization Factor</t>
  </si>
  <si>
    <t>Total score</t>
  </si>
  <si>
    <t>Criteria&gt;</t>
  </si>
  <si>
    <t># of Markers</t>
  </si>
  <si>
    <t>Final Total</t>
  </si>
  <si>
    <t>Minimum</t>
  </si>
  <si>
    <t>Maximum</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</si>
  <si>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</si>
  <si>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</si>
  <si>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</si>
  <si>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</si>
  <si>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</si>
  <si>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</si>
  <si>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</si>
  <si>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</si>
  <si>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</si>
  <si>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</si>
  <si>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</si>
  <si>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</si>
  <si>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</si>
  <si>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</si>
  <si>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</si>
  <si>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</si>
  <si>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</si>
  <si>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</si>
  <si>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</si>
  <si>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</si>
  <si>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</si>
  <si>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</si>
  <si>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</si>
  <si>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</si>
  <si>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</si>
  <si>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</si>
  <si>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</si>
  <si>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</si>
  <si>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</si>
  <si>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</si>
  <si>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</si>
  <si>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</si>
  <si>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</si>
  <si>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</si>
  <si>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</si>
  <si>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</si>
  <si>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</si>
  <si>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</si>
  <si>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</si>
  <si>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</si>
  <si>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</si>
  <si>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</si>
  <si>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</si>
  <si>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</si>
  <si>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</si>
  <si>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</si>
  <si>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</si>
  <si>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</si>
  <si>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</si>
  <si>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</si>
  <si>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</si>
  <si>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</si>
  <si>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</si>
  <si>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</si>
  <si>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</si>
  <si>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</si>
  <si>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</si>
  <si>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</si>
  <si>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</si>
  <si>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</si>
  <si>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</si>
  <si>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</si>
  <si>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</si>
  <si>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</si>
  <si>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</si>
  <si>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</si>
  <si>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</si>
  <si>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</si>
  <si>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</si>
  <si>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</si>
  <si>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</si>
  <si>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</si>
  <si>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</si>
  <si>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</si>
  <si>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</si>
  <si>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</si>
  <si>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</si>
  <si>
    <t>Thanks you for your contributions to this competition.</t>
  </si>
  <si>
    <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</si>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</sst>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0_-;\-* #,##0.0_-;_-* &quot;-&quot;??_-;_-@_-"/>
    <numFmt numFmtId="167" formatCode="_-* #,##0_-;\-* #,##0_-;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85">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2" borderId="15" xfId="0" applyFill="1" applyBorder="1" applyAlignment="1">
      <alignment horizontal="right"/>
    </xf>
    <xf numFmtId="0" fontId="0" fillId="2" borderId="0" xfId="0" applyFill="1" applyAlignment="1">
      <alignment horizontal="right"/>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3" borderId="19" xfId="0" applyFill="1"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7"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8"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9" fillId="2" borderId="2" xfId="0" applyFont="1" applyFill="1" applyBorder="1"/>
    <xf numFmtId="0" fontId="9" fillId="2" borderId="0" xfId="0" applyFont="1" applyFill="1"/>
    <xf numFmtId="0" fontId="9" fillId="2" borderId="0" xfId="0" applyFont="1" applyFill="1" applyAlignment="1">
      <alignment horizontal="center"/>
    </xf>
    <xf numFmtId="0" fontId="9" fillId="2" borderId="9" xfId="0" applyFont="1" applyFill="1" applyBorder="1"/>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10"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0" borderId="0" xfId="0" applyAlignment="1">
      <alignment horizontal="left"/>
    </xf>
    <xf numFmtId="0" fontId="3" fillId="0" borderId="0" xfId="0" applyFont="1" applyAlignment="1">
      <alignment horizontal="left" vertical="top"/>
    </xf>
    <xf numFmtId="0" fontId="0" fillId="0" borderId="0" xfId="0" applyAlignment="1">
      <alignment horizontal="right" wrapText="1"/>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0" fillId="0" borderId="0" xfId="0" applyAlignment="1">
      <alignment horizontal="right"/>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5"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0" borderId="1" xfId="0" applyFont="1" applyBorder="1" applyAlignment="1">
      <alignment horizontal="center" vertical="center" wrapText="1"/>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0" fillId="7" borderId="0" xfId="0" applyFill="1" applyAlignment="1">
      <alignment horizontal="center"/>
    </xf>
    <xf numFmtId="0" fontId="3" fillId="7" borderId="0" xfId="0" applyFont="1" applyFill="1"/>
    <xf numFmtId="1" fontId="3" fillId="2" borderId="53" xfId="0" applyNumberFormat="1" applyFont="1" applyFill="1" applyBorder="1" applyAlignment="1">
      <alignment horizontal="center"/>
    </xf>
    <xf numFmtId="1" fontId="3" fillId="7" borderId="0" xfId="0" applyNumberFormat="1" applyFont="1" applyFill="1" applyAlignment="1">
      <alignment horizontal="center"/>
    </xf>
    <xf numFmtId="0" fontId="3" fillId="8" borderId="2" xfId="0" applyFont="1" applyFill="1" applyBorder="1" applyAlignment="1">
      <alignment horizontal="right"/>
    </xf>
    <xf numFmtId="164" fontId="0" fillId="2" borderId="53" xfId="1" applyFont="1" applyFill="1" applyBorder="1"/>
    <xf numFmtId="9" fontId="0" fillId="2" borderId="53" xfId="1" applyNumberFormat="1" applyFont="1" applyFill="1" applyBorder="1"/>
    <xf numFmtId="0" fontId="3" fillId="9" borderId="8" xfId="0" applyFont="1" applyFill="1" applyBorder="1"/>
    <xf numFmtId="166" fontId="3" fillId="9" borderId="8" xfId="1" applyNumberFormat="1" applyFont="1" applyFill="1" applyBorder="1" applyAlignment="1">
      <alignment horizontal="center"/>
    </xf>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6"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6"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165" fontId="0" fillId="8" borderId="1" xfId="0" applyNumberFormat="1" applyFill="1" applyBorder="1"/>
    <xf numFmtId="167"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1" xfId="0" applyFill="1" applyBorder="1" applyAlignment="1">
      <alignment horizontal="center"/>
    </xf>
    <xf numFmtId="0" fontId="0" fillId="7" borderId="37" xfId="0" applyFill="1" applyBorder="1"/>
    <xf numFmtId="166"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5"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6" fontId="0" fillId="8" borderId="1" xfId="1" applyNumberFormat="1" applyFont="1" applyFill="1" applyBorder="1"/>
    <xf numFmtId="165"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6" fontId="0" fillId="9" borderId="1" xfId="1" applyNumberFormat="1" applyFont="1" applyFill="1" applyBorder="1"/>
    <xf numFmtId="0" fontId="0" fillId="10" borderId="1" xfId="0" applyFill="1" applyBorder="1" applyAlignment="1">
      <alignment horizontal="center"/>
    </xf>
    <xf numFmtId="166" fontId="0" fillId="10" borderId="1" xfId="1" applyNumberFormat="1" applyFont="1" applyFill="1" applyBorder="1"/>
    <xf numFmtId="167" fontId="0" fillId="10" borderId="1" xfId="1" applyNumberFormat="1" applyFont="1" applyFill="1" applyBorder="1" applyAlignment="1">
      <alignment horizontal="center" vertical="center"/>
    </xf>
    <xf numFmtId="166"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right"/>
    </xf>
    <xf numFmtId="0" fontId="3" fillId="10" borderId="8" xfId="0" applyFont="1" applyFill="1" applyBorder="1" applyAlignment="1">
      <alignment horizontal="right"/>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5" fontId="0" fillId="9" borderId="1" xfId="0" applyNumberFormat="1" applyFill="1" applyBorder="1" applyAlignment="1">
      <alignment horizontal="center"/>
    </xf>
    <xf numFmtId="165" fontId="3" fillId="9" borderId="1" xfId="0" applyNumberFormat="1" applyFont="1" applyFill="1" applyBorder="1" applyAlignment="1">
      <alignment horizontal="center"/>
    </xf>
    <xf numFmtId="165" fontId="0" fillId="10" borderId="1" xfId="0" applyNumberFormat="1" applyFill="1" applyBorder="1" applyAlignment="1">
      <alignment horizontal="center"/>
    </xf>
    <xf numFmtId="165"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1" fillId="2" borderId="1" xfId="0" applyFont="1" applyFill="1" applyBorder="1" applyAlignment="1">
      <alignment horizontal="center" vertical="center" textRotation="90"/>
    </xf>
    <xf numFmtId="0" fontId="12" fillId="2" borderId="3" xfId="0" applyFont="1" applyFill="1" applyBorder="1" applyAlignment="1">
      <alignment horizontal="center" vertical="center" wrapText="1"/>
    </xf>
    <xf numFmtId="0" fontId="0" fillId="10" borderId="0" xfId="0" applyFill="1"/>
    <xf numFmtId="0" fontId="13" fillId="2" borderId="1" xfId="0" applyFont="1" applyFill="1" applyBorder="1" applyAlignment="1">
      <alignment vertical="center" wrapText="1"/>
    </xf>
    <xf numFmtId="0" fontId="0" fillId="2" borderId="1" xfId="0" applyFill="1" applyBorder="1" applyAlignment="1">
      <alignment vertical="center"/>
    </xf>
    <xf numFmtId="0" fontId="13"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13" fillId="2" borderId="1" xfId="0" applyFont="1" applyFill="1" applyBorder="1" applyAlignment="1">
      <alignment horizontal="center" vertical="center" wrapText="1"/>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0" fillId="2" borderId="44" xfId="0" applyFill="1" applyBorder="1"/>
    <xf numFmtId="0" fontId="3" fillId="2" borderId="55" xfId="0" applyFont="1" applyFill="1" applyBorder="1"/>
    <xf numFmtId="0" fontId="0" fillId="2" borderId="3" xfId="0" applyFill="1" applyBorder="1" applyAlignment="1">
      <alignment horizontal="center"/>
    </xf>
    <xf numFmtId="0" fontId="0" fillId="2" borderId="56" xfId="0" applyFill="1" applyBorder="1"/>
    <xf numFmtId="0" fontId="0" fillId="2" borderId="57" xfId="0" applyFill="1" applyBorder="1"/>
    <xf numFmtId="0" fontId="3" fillId="2" borderId="56" xfId="0" applyFont="1" applyFill="1" applyBorder="1"/>
    <xf numFmtId="0" fontId="0" fillId="2" borderId="58" xfId="0" applyFill="1" applyBorder="1" applyAlignment="1">
      <alignment horizontal="center" vertical="top"/>
    </xf>
    <xf numFmtId="0" fontId="0" fillId="12" borderId="61" xfId="0" applyFill="1" applyBorder="1"/>
    <xf numFmtId="0" fontId="0" fillId="2" borderId="11" xfId="0" applyFill="1" applyBorder="1"/>
    <xf numFmtId="0" fontId="0" fillId="2" borderId="12" xfId="0" applyFill="1" applyBorder="1"/>
    <xf numFmtId="0" fontId="0" fillId="2" borderId="14" xfId="0" applyFill="1" applyBorder="1"/>
    <xf numFmtId="0" fontId="7" fillId="12" borderId="48" xfId="0" applyFont="1" applyFill="1" applyBorder="1" applyAlignment="1">
      <alignment horizontal="center"/>
    </xf>
    <xf numFmtId="0" fontId="0" fillId="2" borderId="18" xfId="0" applyFill="1" applyBorder="1"/>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6" fillId="0" borderId="4" xfId="0" applyFont="1" applyBorder="1" applyAlignment="1">
      <alignment horizontal="left" vertical="center"/>
    </xf>
    <xf numFmtId="0" fontId="16" fillId="0" borderId="6" xfId="0" applyFont="1" applyBorder="1" applyAlignment="1">
      <alignment horizontal="center" vertical="center"/>
    </xf>
    <xf numFmtId="0" fontId="16" fillId="2" borderId="6" xfId="0" applyFont="1" applyFill="1" applyBorder="1" applyAlignment="1">
      <alignment horizontal="center" vertical="center"/>
    </xf>
    <xf numFmtId="0" fontId="16"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5" fontId="0" fillId="0" borderId="42" xfId="0" applyNumberFormat="1" applyBorder="1" applyAlignment="1">
      <alignment horizontal="center"/>
    </xf>
    <xf numFmtId="165" fontId="0" fillId="2" borderId="1" xfId="0" applyNumberFormat="1" applyFill="1" applyBorder="1" applyAlignment="1">
      <alignment horizontal="center"/>
    </xf>
    <xf numFmtId="165"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5" fontId="0" fillId="0" borderId="1" xfId="0" applyNumberFormat="1" applyBorder="1"/>
    <xf numFmtId="0" fontId="3" fillId="2" borderId="33" xfId="0" applyFont="1" applyFill="1" applyBorder="1"/>
    <xf numFmtId="0" fontId="3" fillId="2" borderId="56"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5"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0" fillId="2" borderId="33" xfId="0" applyFill="1" applyBorder="1"/>
    <xf numFmtId="0" fontId="0" fillId="2" borderId="65" xfId="0" applyFill="1" applyBorder="1"/>
    <xf numFmtId="0" fontId="0" fillId="2" borderId="34" xfId="0" applyFill="1" applyBorder="1"/>
    <xf numFmtId="0" fontId="0" fillId="2" borderId="58" xfId="0" applyFill="1" applyBorder="1" applyAlignment="1">
      <alignment horizontal="right" vertical="top"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4" fillId="0" borderId="0" xfId="0" applyFont="1" applyAlignment="1">
      <alignment horizont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3" fillId="2" borderId="1" xfId="0" applyFont="1" applyFill="1" applyBorder="1" applyAlignment="1">
      <alignment horizontal="center" textRotation="90"/>
    </xf>
    <xf numFmtId="0" fontId="3" fillId="2" borderId="3" xfId="0" applyFont="1" applyFill="1" applyBorder="1" applyAlignment="1">
      <alignment horizontal="center" textRotation="90"/>
    </xf>
    <xf numFmtId="0" fontId="3" fillId="2" borderId="27" xfId="0" applyFont="1" applyFill="1" applyBorder="1" applyAlignment="1">
      <alignment horizontal="center" textRotation="90" wrapText="1"/>
    </xf>
    <xf numFmtId="0" fontId="3" fillId="2" borderId="30"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0" fillId="2" borderId="35" xfId="0" applyFill="1" applyBorder="1" applyAlignment="1">
      <alignment horizontal="left" wrapText="1"/>
    </xf>
    <xf numFmtId="0" fontId="0" fillId="2" borderId="12" xfId="0" applyFill="1" applyBorder="1" applyAlignment="1">
      <alignment horizontal="left" wrapText="1"/>
    </xf>
    <xf numFmtId="0" fontId="3" fillId="2" borderId="16"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8" borderId="29" xfId="0" applyFont="1" applyFill="1" applyBorder="1" applyAlignment="1">
      <alignment horizontal="center" textRotation="90"/>
    </xf>
    <xf numFmtId="0" fontId="3" fillId="7" borderId="29"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3" fillId="7" borderId="3" xfId="0" applyFont="1" applyFill="1" applyBorder="1" applyAlignment="1">
      <alignment horizontal="center" textRotation="90"/>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0" fillId="2" borderId="0" xfId="0" applyFill="1" applyAlignment="1">
      <alignment horizontal="left" vertical="top"/>
    </xf>
    <xf numFmtId="0" fontId="0" fillId="2" borderId="42" xfId="0" applyFill="1" applyBorder="1" applyAlignment="1">
      <alignment horizontal="left"/>
    </xf>
    <xf numFmtId="0" fontId="0" fillId="2" borderId="62" xfId="0" applyFill="1" applyBorder="1" applyAlignment="1">
      <alignment horizontal="left"/>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3" xfId="0" applyFont="1" applyFill="1" applyBorder="1" applyAlignment="1">
      <alignment horizontal="left"/>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3" fillId="2" borderId="0" xfId="0" applyFont="1" applyFill="1" applyAlignment="1">
      <alignment horizontal="left" vertical="top"/>
    </xf>
    <xf numFmtId="0" fontId="14" fillId="2" borderId="8" xfId="0" applyFont="1" applyFill="1" applyBorder="1" applyAlignment="1">
      <alignment horizontal="center"/>
    </xf>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5" fillId="0" borderId="6" xfId="0" applyFont="1" applyBorder="1" applyAlignment="1">
      <alignment horizontal="center" vertical="center" wrapText="1"/>
    </xf>
    <xf numFmtId="0" fontId="15" fillId="0" borderId="54"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0" fillId="9" borderId="59"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6" xfId="0" applyFill="1" applyBorder="1" applyAlignment="1">
      <alignment horizontal="right"/>
    </xf>
    <xf numFmtId="0" fontId="0" fillId="2" borderId="60" xfId="0" applyFill="1" applyBorder="1" applyAlignment="1">
      <alignment horizontal="right"/>
    </xf>
    <xf numFmtId="0" fontId="2" fillId="2" borderId="48" xfId="0" applyFont="1" applyFill="1" applyBorder="1" applyAlignment="1">
      <alignment horizontal="center"/>
    </xf>
    <xf numFmtId="0" fontId="2" fillId="2" borderId="47" xfId="0" applyFont="1"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3" fillId="2" borderId="68" xfId="0" applyFont="1" applyFill="1" applyBorder="1" applyAlignment="1">
      <alignment horizontal="left"/>
    </xf>
    <xf numFmtId="0" fontId="3" fillId="2" borderId="69" xfId="0" applyFont="1" applyFill="1" applyBorder="1" applyAlignment="1">
      <alignment horizontal="left"/>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0" fillId="2" borderId="66" xfId="0" applyFill="1" applyBorder="1" applyAlignment="1">
      <alignment horizontal="left"/>
    </xf>
    <xf numFmtId="0" fontId="0" fillId="2" borderId="64" xfId="0" applyFill="1" applyBorder="1" applyAlignment="1">
      <alignment horizontal="left"/>
    </xf>
    <xf numFmtId="0" fontId="0" fillId="2" borderId="67" xfId="0" applyFill="1" applyBorder="1" applyAlignment="1">
      <alignment horizontal="left"/>
    </xf>
    <xf numFmtId="0" fontId="14" fillId="2" borderId="64" xfId="0" applyFont="1" applyFill="1" applyBorder="1" applyAlignment="1">
      <alignment horizontal="center" vertical="center"/>
    </xf>
    <xf numFmtId="0" fontId="17" fillId="2" borderId="33" xfId="0" applyFont="1" applyFill="1" applyBorder="1" applyAlignment="1">
      <alignment horizontal="center" wrapText="1"/>
    </xf>
    <xf numFmtId="0" fontId="17" fillId="2" borderId="56" xfId="0" applyFont="1" applyFill="1" applyBorder="1" applyAlignment="1">
      <alignment horizontal="center" wrapText="1"/>
    </xf>
    <xf numFmtId="0" fontId="17" fillId="2" borderId="34" xfId="0" applyFont="1" applyFill="1" applyBorder="1" applyAlignment="1">
      <alignment horizontal="center" wrapText="1"/>
    </xf>
    <xf numFmtId="0" fontId="0" fillId="0" borderId="59"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2" borderId="15" xfId="0" applyFill="1" applyBorder="1" applyAlignment="1">
      <alignment horizontal="left" vertical="top"/>
    </xf>
    <xf numFmtId="0" fontId="0" fillId="2" borderId="16" xfId="0" applyFill="1" applyBorder="1" applyAlignment="1">
      <alignment horizontal="left" vertical="top"/>
    </xf>
    <xf numFmtId="165" fontId="0" fillId="0" borderId="22" xfId="0" applyNumberFormat="1" applyBorder="1" applyAlignment="1">
      <alignment horizontal="center"/>
    </xf>
    <xf numFmtId="0" fontId="3" fillId="7" borderId="7" xfId="0" applyFont="1" applyFill="1" applyBorder="1" applyAlignment="1">
      <alignment horizontal="left" vertical="center"/>
    </xf>
    <xf numFmtId="0" fontId="3" fillId="7" borderId="8" xfId="0" applyFont="1" applyFill="1" applyBorder="1" applyAlignment="1">
      <alignment horizontal="left" vertical="center"/>
    </xf>
    <xf numFmtId="0" fontId="3" fillId="8" borderId="2" xfId="0" applyFont="1" applyFill="1" applyBorder="1" applyAlignment="1">
      <alignment horizontal="left" vertical="center"/>
    </xf>
    <xf numFmtId="0" fontId="3" fillId="8" borderId="9" xfId="0" applyFont="1" applyFill="1" applyBorder="1" applyAlignment="1">
      <alignment horizontal="left" vertical="center"/>
    </xf>
    <xf numFmtId="0" fontId="3" fillId="8" borderId="10" xfId="0" applyFont="1" applyFill="1" applyBorder="1" applyAlignment="1">
      <alignment horizontal="left" vertical="center"/>
    </xf>
    <xf numFmtId="0" fontId="3" fillId="9" borderId="8" xfId="0" applyFont="1" applyFill="1" applyBorder="1" applyAlignment="1">
      <alignment horizontal="left" vertical="center"/>
    </xf>
    <xf numFmtId="0" fontId="3" fillId="10" borderId="8" xfId="0" applyFont="1" applyFill="1" applyBorder="1" applyAlignment="1">
      <alignment horizontal="left" vertical="center"/>
    </xf>
    <xf numFmtId="165" fontId="3" fillId="9" borderId="8" xfId="0" applyNumberFormat="1" applyFont="1" applyFill="1" applyBorder="1" applyAlignment="1">
      <alignment horizontal="left"/>
    </xf>
    <xf numFmtId="165" fontId="3" fillId="9" borderId="26" xfId="0" applyNumberFormat="1" applyFont="1" applyFill="1" applyBorder="1" applyAlignment="1">
      <alignment horizontal="center"/>
    </xf>
    <xf numFmtId="165" fontId="3" fillId="9" borderId="3" xfId="0" applyNumberFormat="1" applyFont="1" applyFill="1" applyBorder="1" applyAlignment="1">
      <alignment horizontal="center" textRotation="90"/>
    </xf>
    <xf numFmtId="165" fontId="3" fillId="0" borderId="0" xfId="0" applyNumberFormat="1" applyFont="1"/>
    <xf numFmtId="165" fontId="3" fillId="9" borderId="8" xfId="0" applyNumberFormat="1" applyFont="1" applyFill="1" applyBorder="1" applyAlignment="1">
      <alignment horizontal="right"/>
    </xf>
    <xf numFmtId="165" fontId="3" fillId="9" borderId="8" xfId="0" applyNumberFormat="1" applyFont="1" applyFill="1" applyBorder="1" applyAlignment="1">
      <alignment horizontal="center" vertical="center"/>
    </xf>
    <xf numFmtId="165" fontId="3" fillId="10" borderId="8" xfId="0" applyNumberFormat="1" applyFont="1" applyFill="1" applyBorder="1" applyAlignment="1">
      <alignment horizontal="center"/>
    </xf>
    <xf numFmtId="165" fontId="3" fillId="10" borderId="26" xfId="0" applyNumberFormat="1" applyFont="1" applyFill="1" applyBorder="1" applyAlignment="1">
      <alignment horizontal="center"/>
    </xf>
    <xf numFmtId="165" fontId="3" fillId="10" borderId="3" xfId="0" applyNumberFormat="1" applyFont="1" applyFill="1" applyBorder="1" applyAlignment="1">
      <alignment horizontal="center" textRotation="90"/>
    </xf>
    <xf numFmtId="165" fontId="3" fillId="10" borderId="8" xfId="0" applyNumberFormat="1" applyFont="1" applyFill="1" applyBorder="1" applyAlignment="1">
      <alignment horizontal="right"/>
    </xf>
    <xf numFmtId="165" fontId="3" fillId="10" borderId="8" xfId="0" applyNumberFormat="1" applyFont="1" applyFill="1" applyBorder="1" applyAlignment="1">
      <alignment horizontal="center" vertical="center"/>
    </xf>
    <xf numFmtId="1" fontId="3" fillId="9" borderId="26" xfId="0" applyNumberFormat="1" applyFont="1" applyFill="1" applyBorder="1" applyAlignment="1">
      <alignment horizontal="center"/>
    </xf>
    <xf numFmtId="1" fontId="3" fillId="10" borderId="26" xfId="0" applyNumberFormat="1"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3">
    <dxf>
      <fill>
        <patternFill>
          <bgColor rgb="FFFF6699"/>
        </patternFill>
      </fill>
    </dxf>
    <dxf>
      <font>
        <color theme="1" tint="0.34998626667073579"/>
      </font>
      <fill>
        <patternFill>
          <bgColor theme="0" tint="-0.14996795556505021"/>
        </patternFill>
      </fill>
    </dxf>
    <dxf>
      <font>
        <color theme="9" tint="0.3999450666829432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 Results:</a:t>
            </a:r>
          </a:p>
          <a:p>
            <a:pPr>
              <a:defRPr/>
            </a:pPr>
            <a:r>
              <a:rPr lang="en-US"/>
              <a:t>Ranked by Increasing (normalized)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c:f>
              <c:strCache>
                <c:ptCount val="1"/>
                <c:pt idx="0">
                  <c:v>Raw Span</c:v>
                </c:pt>
              </c:strCache>
            </c:strRef>
          </c:tx>
          <c:spPr>
            <a:ln w="28575" cap="rnd">
              <a:solidFill>
                <a:schemeClr val="accent1"/>
              </a:solidFill>
              <a:round/>
            </a:ln>
            <a:effectLst/>
          </c:spPr>
          <c:marker>
            <c:symbol val="none"/>
          </c:marker>
          <c:val>
            <c:numRef>
              <c:f>Analysis!$K$4:$K$26</c:f>
              <c:numCache>
                <c:formatCode>0.0</c:formatCode>
                <c:ptCount val="23"/>
                <c:pt idx="0">
                  <c:v>8.5317304134368896</c:v>
                </c:pt>
                <c:pt idx="1">
                  <c:v>3.8559021949768066</c:v>
                </c:pt>
                <c:pt idx="2">
                  <c:v>3.6869816780090332</c:v>
                </c:pt>
                <c:pt idx="3">
                  <c:v>3.370999813079834</c:v>
                </c:pt>
                <c:pt idx="4">
                  <c:v>5.6697878837585449</c:v>
                </c:pt>
                <c:pt idx="5">
                  <c:v>6.738297700881958</c:v>
                </c:pt>
                <c:pt idx="6">
                  <c:v>3.5626261234283447</c:v>
                </c:pt>
                <c:pt idx="7">
                  <c:v>5.0705728530883789</c:v>
                </c:pt>
                <c:pt idx="8">
                  <c:v>4.9225020408630371</c:v>
                </c:pt>
                <c:pt idx="9">
                  <c:v>3.918597936630249</c:v>
                </c:pt>
                <c:pt idx="10">
                  <c:v>7.9834167957305908</c:v>
                </c:pt>
                <c:pt idx="11">
                  <c:v>2.3973639011383057</c:v>
                </c:pt>
                <c:pt idx="12">
                  <c:v>3.5614535808563232</c:v>
                </c:pt>
                <c:pt idx="13">
                  <c:v>1.760425329208374</c:v>
                </c:pt>
                <c:pt idx="14">
                  <c:v>2.3317728042602539</c:v>
                </c:pt>
                <c:pt idx="15">
                  <c:v>2.1682078838348389</c:v>
                </c:pt>
                <c:pt idx="16">
                  <c:v>3.7313859462738037</c:v>
                </c:pt>
                <c:pt idx="17">
                  <c:v>7.0133168697357178</c:v>
                </c:pt>
                <c:pt idx="18">
                  <c:v>5.3481309413909912</c:v>
                </c:pt>
                <c:pt idx="19">
                  <c:v>4.9714219570159912</c:v>
                </c:pt>
                <c:pt idx="20">
                  <c:v>3.1545639038085938</c:v>
                </c:pt>
                <c:pt idx="21">
                  <c:v>2.8249378204345703</c:v>
                </c:pt>
                <c:pt idx="22">
                  <c:v>2.9459187984466553</c:v>
                </c:pt>
              </c:numCache>
            </c:numRef>
          </c:val>
          <c:smooth val="0"/>
          <c:extLst>
            <c:ext xmlns:c16="http://schemas.microsoft.com/office/drawing/2014/chart" uri="{C3380CC4-5D6E-409C-BE32-E72D297353CC}">
              <c16:uniqueId val="{00000000-5FF2-449E-8B47-E59ED22453FB}"/>
            </c:ext>
          </c:extLst>
        </c:ser>
        <c:ser>
          <c:idx val="1"/>
          <c:order val="1"/>
          <c:tx>
            <c:strRef>
              <c:f>Analysis!$S$3</c:f>
              <c:strCache>
                <c:ptCount val="1"/>
                <c:pt idx="0">
                  <c:v>Norm. Average</c:v>
                </c:pt>
              </c:strCache>
            </c:strRef>
          </c:tx>
          <c:spPr>
            <a:ln w="28575" cap="rnd">
              <a:solidFill>
                <a:schemeClr val="accent2"/>
              </a:solidFill>
              <a:round/>
            </a:ln>
            <a:effectLst/>
          </c:spPr>
          <c:marker>
            <c:symbol val="none"/>
          </c:marker>
          <c:val>
            <c:numRef>
              <c:f>Analysis!$S$4:$S$26</c:f>
              <c:numCache>
                <c:formatCode>0.0</c:formatCode>
                <c:ptCount val="23"/>
                <c:pt idx="0">
                  <c:v>9.4036500081624439</c:v>
                </c:pt>
                <c:pt idx="1">
                  <c:v>9.4258734061810063</c:v>
                </c:pt>
                <c:pt idx="2">
                  <c:v>9.4273599443441327</c:v>
                </c:pt>
                <c:pt idx="3">
                  <c:v>9.8424407543697185</c:v>
                </c:pt>
                <c:pt idx="4">
                  <c:v>9.918274448779492</c:v>
                </c:pt>
                <c:pt idx="5">
                  <c:v>10.107731756675614</c:v>
                </c:pt>
                <c:pt idx="6">
                  <c:v>10.315336559516268</c:v>
                </c:pt>
                <c:pt idx="7">
                  <c:v>10.515997596708129</c:v>
                </c:pt>
                <c:pt idx="8">
                  <c:v>10.765260847206111</c:v>
                </c:pt>
                <c:pt idx="9">
                  <c:v>10.765549887890311</c:v>
                </c:pt>
                <c:pt idx="10">
                  <c:v>10.816071660032501</c:v>
                </c:pt>
                <c:pt idx="11">
                  <c:v>10.834067041236239</c:v>
                </c:pt>
                <c:pt idx="12">
                  <c:v>10.875839604924106</c:v>
                </c:pt>
                <c:pt idx="13">
                  <c:v>10.985917017393273</c:v>
                </c:pt>
                <c:pt idx="14">
                  <c:v>11.112428476416689</c:v>
                </c:pt>
                <c:pt idx="15">
                  <c:v>11.219703275208872</c:v>
                </c:pt>
                <c:pt idx="16">
                  <c:v>11.294465929923163</c:v>
                </c:pt>
                <c:pt idx="17">
                  <c:v>11.35627957275554</c:v>
                </c:pt>
                <c:pt idx="18">
                  <c:v>11.476871287775426</c:v>
                </c:pt>
                <c:pt idx="19">
                  <c:v>11.725643366204995</c:v>
                </c:pt>
                <c:pt idx="20">
                  <c:v>11.797748547696823</c:v>
                </c:pt>
                <c:pt idx="21">
                  <c:v>12.113842635607845</c:v>
                </c:pt>
                <c:pt idx="22">
                  <c:v>12.303646374991313</c:v>
                </c:pt>
              </c:numCache>
            </c:numRef>
          </c:val>
          <c:smooth val="0"/>
          <c:extLst>
            <c:ext xmlns:c16="http://schemas.microsoft.com/office/drawing/2014/chart" uri="{C3380CC4-5D6E-409C-BE32-E72D297353CC}">
              <c16:uniqueId val="{00000001-5FF2-449E-8B47-E59ED22453FB}"/>
            </c:ext>
          </c:extLst>
        </c:ser>
        <c:ser>
          <c:idx val="2"/>
          <c:order val="2"/>
          <c:tx>
            <c:strRef>
              <c:f>Analysis!$T$3</c:f>
              <c:strCache>
                <c:ptCount val="1"/>
                <c:pt idx="0">
                  <c:v>Norm. Min</c:v>
                </c:pt>
              </c:strCache>
            </c:strRef>
          </c:tx>
          <c:spPr>
            <a:ln w="28575" cap="rnd">
              <a:solidFill>
                <a:schemeClr val="accent3"/>
              </a:solidFill>
              <a:prstDash val="dash"/>
              <a:round/>
            </a:ln>
            <a:effectLst/>
          </c:spPr>
          <c:marker>
            <c:symbol val="none"/>
          </c:marker>
          <c:val>
            <c:numRef>
              <c:f>Analysis!$T$4:$T$26</c:f>
              <c:numCache>
                <c:formatCode>0.0</c:formatCode>
                <c:ptCount val="23"/>
                <c:pt idx="0">
                  <c:v>5.2909374728085812</c:v>
                </c:pt>
                <c:pt idx="1">
                  <c:v>7.6104251031938173</c:v>
                </c:pt>
                <c:pt idx="2">
                  <c:v>7.3229131542959474</c:v>
                </c:pt>
                <c:pt idx="3">
                  <c:v>8.2474201571650365</c:v>
                </c:pt>
                <c:pt idx="4">
                  <c:v>6.4910280096215072</c:v>
                </c:pt>
                <c:pt idx="5">
                  <c:v>6.5804321936896644</c:v>
                </c:pt>
                <c:pt idx="6">
                  <c:v>7.6283069929691329</c:v>
                </c:pt>
                <c:pt idx="7">
                  <c:v>9.4677474366184544</c:v>
                </c:pt>
                <c:pt idx="8">
                  <c:v>8.0930773509794811</c:v>
                </c:pt>
                <c:pt idx="9">
                  <c:v>7.9229126163160988</c:v>
                </c:pt>
                <c:pt idx="10">
                  <c:v>5.8496523569958123</c:v>
                </c:pt>
                <c:pt idx="11">
                  <c:v>8.8519706071156765</c:v>
                </c:pt>
                <c:pt idx="12">
                  <c:v>8.0061457755086778</c:v>
                </c:pt>
                <c:pt idx="13">
                  <c:v>8.593513770902506</c:v>
                </c:pt>
                <c:pt idx="14">
                  <c:v>9.5956703816423357</c:v>
                </c:pt>
                <c:pt idx="15">
                  <c:v>10.118539962614584</c:v>
                </c:pt>
                <c:pt idx="16">
                  <c:v>9.8141252709119691</c:v>
                </c:pt>
                <c:pt idx="17">
                  <c:v>5.6958778161676316</c:v>
                </c:pt>
                <c:pt idx="18">
                  <c:v>8.5071447470436308</c:v>
                </c:pt>
                <c:pt idx="19">
                  <c:v>9.5322026381577754</c:v>
                </c:pt>
                <c:pt idx="20">
                  <c:v>9.6900758140700241</c:v>
                </c:pt>
                <c:pt idx="21">
                  <c:v>10.510024073818784</c:v>
                </c:pt>
                <c:pt idx="22">
                  <c:v>11.328499504011702</c:v>
                </c:pt>
              </c:numCache>
            </c:numRef>
          </c:val>
          <c:smooth val="0"/>
          <c:extLst>
            <c:ext xmlns:c16="http://schemas.microsoft.com/office/drawing/2014/chart" uri="{C3380CC4-5D6E-409C-BE32-E72D297353CC}">
              <c16:uniqueId val="{00000002-5FF2-449E-8B47-E59ED22453FB}"/>
            </c:ext>
          </c:extLst>
        </c:ser>
        <c:ser>
          <c:idx val="3"/>
          <c:order val="3"/>
          <c:tx>
            <c:strRef>
              <c:f>Analysis!$U$3</c:f>
              <c:strCache>
                <c:ptCount val="1"/>
                <c:pt idx="0">
                  <c:v>Norm. Max</c:v>
                </c:pt>
              </c:strCache>
            </c:strRef>
          </c:tx>
          <c:spPr>
            <a:ln w="28575" cap="rnd">
              <a:solidFill>
                <a:schemeClr val="accent4"/>
              </a:solidFill>
              <a:prstDash val="dash"/>
              <a:round/>
            </a:ln>
            <a:effectLst/>
          </c:spPr>
          <c:marker>
            <c:symbol val="none"/>
          </c:marker>
          <c:val>
            <c:numRef>
              <c:f>Analysis!$U$4:$U$26</c:f>
              <c:numCache>
                <c:formatCode>0.0</c:formatCode>
                <c:ptCount val="23"/>
                <c:pt idx="0">
                  <c:v>13.193213325805559</c:v>
                </c:pt>
                <c:pt idx="1">
                  <c:v>11.459299547204637</c:v>
                </c:pt>
                <c:pt idx="2">
                  <c:v>11.225516313468123</c:v>
                </c:pt>
                <c:pt idx="3">
                  <c:v>11.663900460565738</c:v>
                </c:pt>
                <c:pt idx="4">
                  <c:v>13.043175403824577</c:v>
                </c:pt>
                <c:pt idx="5">
                  <c:v>12.688187860557708</c:v>
                </c:pt>
                <c:pt idx="6">
                  <c:v>12.477864134814837</c:v>
                </c:pt>
                <c:pt idx="7">
                  <c:v>12.756977144447912</c:v>
                </c:pt>
                <c:pt idx="8">
                  <c:v>12.782368471386491</c:v>
                </c:pt>
                <c:pt idx="9">
                  <c:v>12.039908925175313</c:v>
                </c:pt>
                <c:pt idx="10">
                  <c:v>14.379297924989546</c:v>
                </c:pt>
                <c:pt idx="11">
                  <c:v>13.444052660833577</c:v>
                </c:pt>
                <c:pt idx="12">
                  <c:v>13.056049440556549</c:v>
                </c:pt>
                <c:pt idx="13">
                  <c:v>12.350972297735947</c:v>
                </c:pt>
                <c:pt idx="14">
                  <c:v>12.388878914210379</c:v>
                </c:pt>
                <c:pt idx="15">
                  <c:v>11.779157090712479</c:v>
                </c:pt>
                <c:pt idx="16">
                  <c:v>12.610560590305708</c:v>
                </c:pt>
                <c:pt idx="17">
                  <c:v>15.030866231877731</c:v>
                </c:pt>
                <c:pt idx="18">
                  <c:v>13.762375043584763</c:v>
                </c:pt>
                <c:pt idx="19">
                  <c:v>14.816100126701066</c:v>
                </c:pt>
                <c:pt idx="20">
                  <c:v>13.814223687765601</c:v>
                </c:pt>
                <c:pt idx="21">
                  <c:v>14.231080406917419</c:v>
                </c:pt>
                <c:pt idx="22">
                  <c:v>14.214144251531149</c:v>
                </c:pt>
              </c:numCache>
            </c:numRef>
          </c:val>
          <c:smooth val="0"/>
          <c:extLst>
            <c:ext xmlns:c16="http://schemas.microsoft.com/office/drawing/2014/chart" uri="{C3380CC4-5D6E-409C-BE32-E72D297353CC}">
              <c16:uniqueId val="{00000003-5FF2-449E-8B47-E59ED22453FB}"/>
            </c:ext>
          </c:extLst>
        </c:ser>
        <c:ser>
          <c:idx val="4"/>
          <c:order val="4"/>
          <c:tx>
            <c:strRef>
              <c:f>Analysis!$V$3</c:f>
              <c:strCache>
                <c:ptCount val="1"/>
                <c:pt idx="0">
                  <c:v>Norm. Span</c:v>
                </c:pt>
              </c:strCache>
            </c:strRef>
          </c:tx>
          <c:spPr>
            <a:ln w="28575" cap="rnd">
              <a:solidFill>
                <a:schemeClr val="accent5"/>
              </a:solidFill>
              <a:round/>
            </a:ln>
            <a:effectLst/>
          </c:spPr>
          <c:marker>
            <c:symbol val="none"/>
          </c:marker>
          <c:val>
            <c:numRef>
              <c:f>Analysis!$V$4:$V$26</c:f>
              <c:numCache>
                <c:formatCode>0.0</c:formatCode>
                <c:ptCount val="23"/>
                <c:pt idx="0">
                  <c:v>7.9022758529969774</c:v>
                </c:pt>
                <c:pt idx="1">
                  <c:v>3.8488744440108196</c:v>
                </c:pt>
                <c:pt idx="2">
                  <c:v>3.9026031591721759</c:v>
                </c:pt>
                <c:pt idx="3">
                  <c:v>3.4164803034007019</c:v>
                </c:pt>
                <c:pt idx="4">
                  <c:v>6.5521473942030699</c:v>
                </c:pt>
                <c:pt idx="5">
                  <c:v>6.1077556668680435</c:v>
                </c:pt>
                <c:pt idx="6">
                  <c:v>4.849557141845704</c:v>
                </c:pt>
                <c:pt idx="7">
                  <c:v>3.2892297078294579</c:v>
                </c:pt>
                <c:pt idx="8">
                  <c:v>4.6892911204070096</c:v>
                </c:pt>
                <c:pt idx="9">
                  <c:v>4.1169963088592141</c:v>
                </c:pt>
                <c:pt idx="10">
                  <c:v>8.5296455679937324</c:v>
                </c:pt>
                <c:pt idx="11">
                  <c:v>4.5920820537179008</c:v>
                </c:pt>
                <c:pt idx="12">
                  <c:v>5.0499036650478715</c:v>
                </c:pt>
                <c:pt idx="13">
                  <c:v>3.7574585268334406</c:v>
                </c:pt>
                <c:pt idx="14">
                  <c:v>2.7932085325680429</c:v>
                </c:pt>
                <c:pt idx="15">
                  <c:v>1.6606171280978952</c:v>
                </c:pt>
                <c:pt idx="16">
                  <c:v>2.7964353193937388</c:v>
                </c:pt>
                <c:pt idx="17">
                  <c:v>9.3349884157101002</c:v>
                </c:pt>
                <c:pt idx="18">
                  <c:v>5.2552302965411322</c:v>
                </c:pt>
                <c:pt idx="19">
                  <c:v>5.2838974885432908</c:v>
                </c:pt>
                <c:pt idx="20">
                  <c:v>4.124147873695577</c:v>
                </c:pt>
                <c:pt idx="21">
                  <c:v>3.7210563330986357</c:v>
                </c:pt>
                <c:pt idx="22">
                  <c:v>2.8856447475194464</c:v>
                </c:pt>
              </c:numCache>
            </c:numRef>
          </c:val>
          <c:smooth val="0"/>
          <c:extLst>
            <c:ext xmlns:c16="http://schemas.microsoft.com/office/drawing/2014/chart" uri="{C3380CC4-5D6E-409C-BE32-E72D297353CC}">
              <c16:uniqueId val="{00000004-5FF2-449E-8B47-E59ED22453FB}"/>
            </c:ext>
          </c:extLst>
        </c:ser>
        <c:dLbls>
          <c:showLegendKey val="0"/>
          <c:showVal val="0"/>
          <c:showCatName val="0"/>
          <c:showSerName val="0"/>
          <c:showPercent val="0"/>
          <c:showBubbleSize val="0"/>
        </c:dLbls>
        <c:smooth val="0"/>
        <c:axId val="1983461951"/>
        <c:axId val="1983454879"/>
      </c:lineChart>
      <c:catAx>
        <c:axId val="1983461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54879"/>
        <c:crosses val="autoZero"/>
        <c:auto val="1"/>
        <c:lblAlgn val="ctr"/>
        <c:lblOffset val="100"/>
        <c:noMultiLvlLbl val="0"/>
      </c:catAx>
      <c:valAx>
        <c:axId val="19834548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61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57A29E5-FD4E-4843-A8D3-D0676913046F}">
  <sheetPr codeName="Chart1">
    <tabColor theme="9" tint="0.79998168889431442"/>
  </sheetPr>
  <sheetViews>
    <sheetView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1B612489-CEFA-4ACB-BF73-3D6C804E48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bert van den Berg" id="{B0A313D7-190B-4E72-99E1-8F5322674436}"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B0A313D7-190B-4E72-99E1-8F5322674436}" id="{4B3707F0-E843-4931-8CDE-A207D1AAAFA8}">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B0A313D7-190B-4E72-99E1-8F5322674436}" id="{4C102B0C-01A4-4591-9B72-9CD3CBD10F75}">
    <text>Defined by the number of titles on the project sheet</text>
  </threadedComment>
  <threadedComment ref="K16" dT="2021-01-27T01:46:53.78" personId="{B0A313D7-190B-4E72-99E1-8F5322674436}" id="{A1B175E7-A75E-43EB-886C-E4D932013F76}">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AO4" dT="2021-02-22T14:03:46.65" personId="{B0A313D7-190B-4E72-99E1-8F5322674436}" id="{26879812-C8B4-497E-B44A-EC597C753B59}">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B0A313D7-190B-4E72-99E1-8F5322674436}" id="{17F71723-8751-4002-8DCD-FD38FA109422}">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B0A313D7-190B-4E72-99E1-8F5322674436}" id="{FD93651C-F4AE-47E5-8857-190AF642006C}">
    <text>Revise or delete column &amp; header.</text>
  </threadedComment>
  <threadedComment ref="D1" dT="2021-01-28T13:53:13.01" personId="{B0A313D7-190B-4E72-99E1-8F5322674436}" id="{A7ACB370-4238-44B6-AD47-B145B137B7FD}">
    <text>Add or subtract columns as you want.</text>
  </threadedComment>
  <threadedComment ref="E1" dT="2021-01-28T13:53:53.73" personId="{B0A313D7-190B-4E72-99E1-8F5322674436}" id="{8160F46B-AA73-4352-8EDB-DE3CC89F30EE}">
    <text>Revise or delete column &amp; header.</text>
  </threadedComment>
  <threadedComment ref="F1" dT="2021-01-28T13:47:47.80" personId="{B0A313D7-190B-4E72-99E1-8F5322674436}" id="{D74E44BC-BAAF-4D4E-BCA0-215F1B15132E}">
    <text>Do not edit the text in this cell</text>
  </threadedComment>
  <threadedComment ref="G1" dT="2021-01-28T13:48:04.75" personId="{B0A313D7-190B-4E72-99E1-8F5322674436}" id="{F9B28200-8851-4A5E-80C6-F0502DEDE2E0}">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B0A313D7-190B-4E72-99E1-8F5322674436}" id="{5036F22F-A1D8-4726-9124-6CE993C529D2}">
    <text>This column must have consecutive integers starting at 1 (up to the number of criteria).</text>
  </threadedComment>
  <threadedComment ref="G9" dT="2021-02-13T19:38:34.90" personId="{B0A313D7-190B-4E72-99E1-8F5322674436}" id="{99FADF1A-B49E-42CD-BF61-25EB3F264DD3}">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B0A313D7-190B-4E72-99E1-8F5322674436}" id="{4989FA9E-C9C5-42A0-9B5D-8F4B615116D0}">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B0A313D7-190B-4E72-99E1-8F5322674436}" id="{298989C8-8FA1-4304-B5AA-628436A196D5}">
    <text>Don't change the text in this cell (used by a Macro)</text>
  </threadedComment>
  <threadedComment ref="A2" dT="2021-03-12T23:01:58.64" personId="{B0A313D7-190B-4E72-99E1-8F5322674436}" id="{14A65D89-9D5D-401E-A5FA-171486607DF5}">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B0A313D7-190B-4E72-99E1-8F5322674436}" id="{D4B83801-332A-4A9C-885D-9C951E629DF1}">
    <text>A zero or empty weight indicates the keyword is not used.</text>
  </threadedComment>
  <threadedComment ref="A3" dT="2021-03-12T23:02:20.20" personId="{B0A313D7-190B-4E72-99E1-8F5322674436}" id="{0490438E-6F94-4FFA-94A3-6FC461F6A576}">
    <text>This column must have consecutive integers starting at 1 (up to the number of keywords).</text>
  </threadedComment>
  <threadedComment ref="F4" dT="2021-02-13T19:39:31.93" personId="{B0A313D7-190B-4E72-99E1-8F5322674436}" id="{F49E5877-37B3-46CE-8CCF-5C0AEA12E266}">
    <text>This table is created by a COPY of the table in columns A:D, followed by a PASTE SPECIAL TRANSPOSE referencing this cell.</text>
  </threadedComment>
  <threadedComment ref="F7" dT="2021-02-01T21:13:16.74" personId="{B0A313D7-190B-4E72-99E1-8F5322674436}" id="{74909007-16B7-43A9-8826-43E921207359}">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B0A313D7-190B-4E72-99E1-8F5322674436}" id="{25F53BF8-DB63-4001-8092-442FBBB049AE}">
    <text>Enter your level of expertise for each project as  L (low), M (medium) or H (high) in each cell.</text>
  </threadedComment>
  <threadedComment ref="Q4" dT="2021-03-10T01:33:20.64" personId="{B0A313D7-190B-4E72-99E1-8F5322674436}" id="{862617D7-01A6-4429-95C3-4DD23B083638}">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B0A313D7-190B-4E72-99E1-8F5322674436}" id="{CD37EB99-B46A-478B-A0A7-0EC0B4F62AD3}">
    <text>This table should have expertise against the keywords as L, M or H (or blank).</text>
  </threadedComment>
  <threadedComment ref="Q4" dT="2021-03-10T01:35:33.43" personId="{B0A313D7-190B-4E72-99E1-8F5322674436}" id="{B30476F5-7016-4D81-8954-7BECFEE30A14}">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B0A313D7-190B-4E72-99E1-8F5322674436}" id="{E1FDD1D1-0F1D-4C4C-AA24-3CECF2C2BB27}">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B0A313D7-190B-4E72-99E1-8F5322674436}" id="{6EA36E44-B362-4C30-BC28-884A488E20BC}">
    <text>Sum of H=3, M=2, L=1 for assignments.</text>
  </threadedComment>
  <threadedComment ref="J2" dT="2021-01-12T23:32:48.11" personId="{B0A313D7-190B-4E72-99E1-8F5322674436}" id="{429AF905-B4ED-4456-BA26-328C49F37DC8}">
    <text>Don't change the text in this cell (used by a Macro)</text>
  </threadedComment>
  <threadedComment ref="O2" dT="2021-01-12T23:32:43.02" personId="{B0A313D7-190B-4E72-99E1-8F5322674436}" id="{6071A900-66DE-40EF-B8B6-10C7AFA7E88F}">
    <text>Don't change the text in this cell (used by a Macro)</text>
  </threadedComment>
  <threadedComment ref="W2" dT="2021-01-18T16:39:13.49" personId="{B0A313D7-190B-4E72-99E1-8F5322674436}" id="{FC3AA66B-67AC-4DED-B3DC-8C5C9C00196E}">
    <text>Compare this with the value set in the "Competition Parameters" sheet</text>
  </threadedComment>
  <threadedComment ref="W3" dT="2021-01-18T16:39:18.46" personId="{B0A313D7-190B-4E72-99E1-8F5322674436}" id="{EA1AA264-868B-4DC1-99B7-5C21D25CBF0A}">
    <text>Compare this with the value set in the "Competition Parameters" sheet</text>
  </threadedComment>
  <threadedComment ref="W4" dT="2021-01-18T16:39:05.52" personId="{B0A313D7-190B-4E72-99E1-8F5322674436}" id="{BBF38158-ED81-42FF-93E5-30386B39B74B}">
    <text>Compare this with the value set in the "Competition Parameters" sheet</text>
  </threadedComment>
  <threadedComment ref="W5" dT="2021-01-18T16:39:25.70" personId="{B0A313D7-190B-4E72-99E1-8F5322674436}" id="{B8B0C316-8267-47D2-8866-1AAFE98E8876}">
    <text>Compare this with the value set in the "Competition Parameters" sheet</text>
  </threadedComment>
  <threadedComment ref="W6" dT="2021-01-18T16:39:35.99" personId="{B0A313D7-190B-4E72-99E1-8F5322674436}" id="{95145D8E-A56F-4185-A8FB-5AFE8F63F572}">
    <text>Compare this with the value set in the "Competition Parameters" sheet</text>
  </threadedComment>
  <threadedComment ref="W7" dT="2021-01-20T01:30:04.66" personId="{B0A313D7-190B-4E72-99E1-8F5322674436}" id="{A334D3C0-2C96-4D86-AD9B-60C614813F68}">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E001A-E357-4272-9421-8961F3AA89B3}">
  <sheetPr codeName="Sheet4">
    <tabColor theme="9" tint="0.79998168889431442"/>
  </sheetPr>
  <dimension ref="A1:M25"/>
  <sheetViews>
    <sheetView zoomScale="115" zoomScaleNormal="115" workbookViewId="0">
      <selection activeCell="D23" sqref="D23"/>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3</v>
      </c>
    </row>
    <row r="3" spans="1:13" x14ac:dyDescent="0.25">
      <c r="A3" s="4"/>
      <c r="B3" s="5" t="s">
        <v>3</v>
      </c>
      <c r="C3" s="6">
        <f>K14</f>
        <v>4</v>
      </c>
    </row>
    <row r="4" spans="1:13" x14ac:dyDescent="0.25">
      <c r="A4" s="4"/>
      <c r="B4" s="7" t="s">
        <v>4</v>
      </c>
      <c r="C4" s="8">
        <f>K18</f>
        <v>10</v>
      </c>
    </row>
    <row r="5" spans="1:13" x14ac:dyDescent="0.25">
      <c r="A5" s="4"/>
      <c r="B5" s="5" t="s">
        <v>5</v>
      </c>
      <c r="C5" s="9">
        <f>Keywords!G2</f>
        <v>11</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371" t="s">
        <v>14</v>
      </c>
      <c r="E10" s="372"/>
      <c r="F10" s="373"/>
    </row>
    <row r="11" spans="1:13" x14ac:dyDescent="0.25">
      <c r="A11" s="4"/>
      <c r="B11" s="22" t="s">
        <v>15</v>
      </c>
      <c r="C11" s="23" t="s">
        <v>16</v>
      </c>
      <c r="D11" s="11" t="s">
        <v>17</v>
      </c>
      <c r="E11" s="24"/>
      <c r="F11" s="23"/>
    </row>
    <row r="12" spans="1:13" ht="15.75" thickBot="1" x14ac:dyDescent="0.3">
      <c r="A12" s="4"/>
      <c r="B12" s="22" t="s">
        <v>18</v>
      </c>
      <c r="C12" s="23" t="s">
        <v>19</v>
      </c>
      <c r="D12" s="11" t="s">
        <v>20</v>
      </c>
      <c r="E12" s="24"/>
      <c r="F12" s="23"/>
      <c r="H12" s="374" t="s">
        <v>21</v>
      </c>
      <c r="I12" s="374"/>
      <c r="J12" s="374"/>
      <c r="K12" s="374"/>
    </row>
    <row r="13" spans="1:13" x14ac:dyDescent="0.25">
      <c r="A13" s="4"/>
      <c r="B13" s="22" t="s">
        <v>22</v>
      </c>
      <c r="C13" s="23" t="s">
        <v>23</v>
      </c>
      <c r="D13" s="11" t="s">
        <v>20</v>
      </c>
      <c r="E13" s="24"/>
      <c r="F13" s="23"/>
      <c r="H13" s="25"/>
      <c r="I13" s="26"/>
      <c r="J13" s="26" t="s">
        <v>24</v>
      </c>
      <c r="K13" s="27">
        <f>Projects!L1</f>
        <v>25</v>
      </c>
      <c r="L13" s="375" t="s">
        <v>25</v>
      </c>
    </row>
    <row r="14" spans="1:13" x14ac:dyDescent="0.25">
      <c r="A14" s="4"/>
      <c r="B14" s="22" t="s">
        <v>26</v>
      </c>
      <c r="C14" s="23" t="s">
        <v>27</v>
      </c>
      <c r="D14" s="11" t="s">
        <v>20</v>
      </c>
      <c r="E14" s="24"/>
      <c r="F14" s="23"/>
      <c r="H14" s="28"/>
      <c r="I14" s="29"/>
      <c r="J14" s="29" t="s">
        <v>28</v>
      </c>
      <c r="K14" s="16">
        <v>4</v>
      </c>
      <c r="L14" s="376"/>
    </row>
    <row r="15" spans="1:13" x14ac:dyDescent="0.25">
      <c r="A15" s="4"/>
      <c r="B15" s="22" t="s">
        <v>29</v>
      </c>
      <c r="C15" s="23" t="s">
        <v>30</v>
      </c>
      <c r="D15" s="11" t="s">
        <v>20</v>
      </c>
      <c r="E15" s="24"/>
      <c r="F15" s="23"/>
      <c r="H15" s="28"/>
      <c r="I15" s="29"/>
      <c r="J15" s="29" t="s">
        <v>31</v>
      </c>
      <c r="K15" s="16">
        <v>4</v>
      </c>
      <c r="L15" s="376"/>
      <c r="M15" s="30" t="str">
        <f>IF(K15&gt;C3,"TOO MANY,MUST BE &lt; "&amp;C3,"")</f>
        <v/>
      </c>
    </row>
    <row r="16" spans="1:13" ht="15.75" thickBot="1" x14ac:dyDescent="0.3">
      <c r="A16" s="4"/>
      <c r="B16" s="22" t="s">
        <v>32</v>
      </c>
      <c r="C16" s="11" t="s">
        <v>33</v>
      </c>
      <c r="D16" s="31" t="s">
        <v>20</v>
      </c>
      <c r="E16" s="24"/>
      <c r="F16" s="23"/>
      <c r="H16" s="32"/>
      <c r="I16" s="33"/>
      <c r="J16" s="33" t="s">
        <v>34</v>
      </c>
      <c r="K16" s="34">
        <f>Markers!G1</f>
        <v>10</v>
      </c>
      <c r="L16" s="377"/>
    </row>
    <row r="17" spans="1:12" x14ac:dyDescent="0.25">
      <c r="A17" s="4"/>
      <c r="B17" s="22" t="s">
        <v>35</v>
      </c>
      <c r="C17" s="11" t="s">
        <v>36</v>
      </c>
      <c r="D17" s="31" t="s">
        <v>20</v>
      </c>
      <c r="E17" s="24"/>
      <c r="F17" s="23"/>
      <c r="H17" s="25"/>
      <c r="I17" s="26"/>
      <c r="J17" s="25" t="s">
        <v>37</v>
      </c>
      <c r="K17" s="27">
        <f>K14*K13</f>
        <v>100</v>
      </c>
      <c r="L17" s="378" t="s">
        <v>38</v>
      </c>
    </row>
    <row r="18" spans="1:12" x14ac:dyDescent="0.25">
      <c r="A18" s="4"/>
      <c r="B18" s="35" t="s">
        <v>39</v>
      </c>
      <c r="C18" s="36" t="b">
        <v>1</v>
      </c>
      <c r="D18" s="36" t="s">
        <v>40</v>
      </c>
      <c r="E18" s="19"/>
      <c r="F18" s="37"/>
      <c r="H18" s="28"/>
      <c r="I18" s="29"/>
      <c r="J18" s="28" t="s">
        <v>41</v>
      </c>
      <c r="K18" s="38">
        <v>10</v>
      </c>
      <c r="L18" s="379"/>
    </row>
    <row r="19" spans="1:12" ht="15.75" thickBot="1" x14ac:dyDescent="0.3">
      <c r="A19" s="4"/>
      <c r="B19" s="22" t="s">
        <v>42</v>
      </c>
      <c r="C19" s="11" t="b">
        <v>0</v>
      </c>
      <c r="D19" s="11" t="s">
        <v>40</v>
      </c>
      <c r="E19" s="24"/>
      <c r="F19" s="23"/>
      <c r="H19" s="32"/>
      <c r="I19" s="33"/>
      <c r="J19" s="32" t="s">
        <v>43</v>
      </c>
      <c r="K19" s="39">
        <f>IF(K16&gt;0,ROUND(K13/K16,0),0)</f>
        <v>3</v>
      </c>
      <c r="L19" s="380"/>
    </row>
    <row r="20" spans="1:12" x14ac:dyDescent="0.25">
      <c r="B20" s="5" t="s">
        <v>44</v>
      </c>
      <c r="C20" s="10" t="b">
        <v>1</v>
      </c>
      <c r="D20" s="31" t="s">
        <v>45</v>
      </c>
      <c r="E20" s="24"/>
      <c r="F20" s="23"/>
    </row>
    <row r="21" spans="1:12" x14ac:dyDescent="0.25">
      <c r="B21" s="22" t="s">
        <v>46</v>
      </c>
      <c r="C21" s="11" t="b">
        <v>1</v>
      </c>
      <c r="D21" s="31" t="s">
        <v>47</v>
      </c>
      <c r="E21" s="24"/>
      <c r="F21" s="23"/>
    </row>
    <row r="22" spans="1:12" x14ac:dyDescent="0.25">
      <c r="B22" s="22" t="s">
        <v>48</v>
      </c>
      <c r="C22" s="16" t="s">
        <v>49</v>
      </c>
      <c r="D22" s="381" t="s">
        <v>50</v>
      </c>
      <c r="E22" s="382"/>
      <c r="F22" s="383"/>
    </row>
    <row r="23" spans="1:12" x14ac:dyDescent="0.25">
      <c r="B23" s="22" t="s">
        <v>51</v>
      </c>
      <c r="C23" s="16" t="b">
        <v>1</v>
      </c>
      <c r="D23" s="4"/>
      <c r="E23" s="4"/>
      <c r="F23" s="4"/>
    </row>
    <row r="24" spans="1:12" x14ac:dyDescent="0.25">
      <c r="B24" s="40" t="s">
        <v>52</v>
      </c>
      <c r="C24" s="40"/>
    </row>
    <row r="25" spans="1:12" x14ac:dyDescent="0.25">
      <c r="B25" s="41" t="s">
        <v>53</v>
      </c>
      <c r="C25" s="42"/>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9015-3AC0-4F39-A901-F03EC10D4176}">
  <sheetPr codeName="Sheet38">
    <tabColor theme="9" tint="0.79998168889431442"/>
  </sheetPr>
  <dimension ref="A1:Y27"/>
  <sheetViews>
    <sheetView zoomScaleNormal="100" workbookViewId="0">
      <pane ySplit="2" topLeftCell="A3" activePane="bottomLeft" state="frozen"/>
      <selection activeCell="D23" sqref="D23"/>
      <selection pane="bottomLeft" activeCell="J1" sqref="J1:M1048576"/>
    </sheetView>
  </sheetViews>
  <sheetFormatPr defaultRowHeight="15" x14ac:dyDescent="0.25"/>
  <cols>
    <col min="2" max="2" width="39" customWidth="1"/>
    <col min="3" max="3" width="22" bestFit="1" customWidth="1"/>
    <col min="4" max="4" width="3.7109375" bestFit="1" customWidth="1"/>
    <col min="5" max="5" width="5.28515625" customWidth="1"/>
    <col min="6" max="9" width="5.7109375" customWidth="1"/>
    <col min="10" max="13" width="14.7109375" customWidth="1"/>
    <col min="14" max="14" width="2.5703125" customWidth="1"/>
    <col min="15" max="15" width="3.7109375" bestFit="1" customWidth="1"/>
    <col min="16" max="16" width="36" bestFit="1" customWidth="1"/>
    <col min="17" max="17" width="3.7109375" bestFit="1" customWidth="1"/>
    <col min="18" max="18" width="18.85546875" bestFit="1" customWidth="1"/>
    <col min="19" max="19" width="3.7109375"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56"/>
      <c r="B1" s="56"/>
      <c r="C1" s="177"/>
      <c r="D1" s="178"/>
      <c r="E1" s="179"/>
      <c r="F1" s="180" t="s">
        <v>257</v>
      </c>
      <c r="G1" s="180"/>
      <c r="H1" s="180"/>
      <c r="I1" s="180"/>
      <c r="J1" s="181" t="s">
        <v>258</v>
      </c>
      <c r="K1" s="181"/>
      <c r="L1" s="181"/>
      <c r="M1" s="181"/>
      <c r="O1" s="182"/>
      <c r="P1" s="183" t="s">
        <v>259</v>
      </c>
      <c r="Q1" s="183"/>
      <c r="R1" s="183"/>
      <c r="S1" s="183"/>
      <c r="T1" s="184"/>
      <c r="V1" s="185" t="s">
        <v>260</v>
      </c>
      <c r="W1" s="185" t="s">
        <v>261</v>
      </c>
      <c r="X1" s="185" t="s">
        <v>262</v>
      </c>
      <c r="Y1" s="42"/>
    </row>
    <row r="2" spans="1:25" ht="126" x14ac:dyDescent="0.25">
      <c r="A2" s="186" t="str">
        <f>Projects!A1</f>
        <v>Project #</v>
      </c>
      <c r="B2" s="81" t="str">
        <f>Projects!B2</f>
        <v>Project Name</v>
      </c>
      <c r="C2" s="187" t="str">
        <f>Projects!D2</f>
        <v>Organization</v>
      </c>
      <c r="D2" s="188" t="s">
        <v>263</v>
      </c>
      <c r="E2" s="178" t="s">
        <v>264</v>
      </c>
      <c r="F2" s="189">
        <v>1</v>
      </c>
      <c r="G2" s="189">
        <v>2</v>
      </c>
      <c r="H2" s="189">
        <v>3</v>
      </c>
      <c r="I2" s="189">
        <v>4</v>
      </c>
      <c r="J2" s="88">
        <v>1</v>
      </c>
      <c r="K2" s="88">
        <v>2</v>
      </c>
      <c r="L2" s="88">
        <v>3</v>
      </c>
      <c r="M2" s="88">
        <v>4</v>
      </c>
      <c r="O2" s="190" t="s">
        <v>181</v>
      </c>
      <c r="P2" s="48" t="s">
        <v>182</v>
      </c>
      <c r="Q2" s="191" t="s">
        <v>265</v>
      </c>
      <c r="R2" s="49" t="s">
        <v>266</v>
      </c>
      <c r="S2" s="192" t="s">
        <v>267</v>
      </c>
      <c r="T2" s="193" t="s">
        <v>268</v>
      </c>
      <c r="V2" s="194" t="s">
        <v>24</v>
      </c>
      <c r="W2" s="195">
        <f>COUNTIF(Projects!B:B,"&lt;&gt;"&amp;"")-2</f>
        <v>25</v>
      </c>
      <c r="X2" s="196"/>
      <c r="Y2" s="197" t="s">
        <v>25</v>
      </c>
    </row>
    <row r="3" spans="1:25" x14ac:dyDescent="0.25">
      <c r="A3" s="51">
        <f>Projects!A3</f>
        <v>1</v>
      </c>
      <c r="B3" s="56" t="str">
        <f>Projects!B3</f>
        <v>Project 1</v>
      </c>
      <c r="C3" s="6" t="str">
        <f>Projects!D3</f>
        <v>Carleton University</v>
      </c>
      <c r="D3" s="6">
        <f>Projects!G3</f>
        <v>1</v>
      </c>
      <c r="E3" s="56" t="str">
        <f>IF(AND(D3&gt;0,OR(D3=F3,D3=G3,D3=H3,D3=I3)),"XX","")</f>
        <v/>
      </c>
      <c r="F3" s="174">
        <v>7</v>
      </c>
      <c r="G3" s="174">
        <v>6</v>
      </c>
      <c r="H3" s="174">
        <v>5</v>
      </c>
      <c r="I3" s="174">
        <v>2</v>
      </c>
      <c r="J3" s="59" t="str">
        <f t="shared" ref="J3:J27" si="0">IF(ISNA(VLOOKUP(F3,$O:$P,2,FALSE)),"",VLOOKUP(F3,$O:$P,2,FALSE))</f>
        <v>Aldo Range</v>
      </c>
      <c r="K3" s="59" t="str">
        <f t="shared" ref="K3:K27" si="1">IF(ISNA(VLOOKUP(G3,$O:$P,2,FALSE)),"",VLOOKUP(G3,$O:$P,2,FALSE))</f>
        <v>Elmer Seawood</v>
      </c>
      <c r="L3" s="59" t="str">
        <f t="shared" ref="L3:L27" si="2">IF(ISNA(VLOOKUP(H3,$O:$P,2,FALSE)),"",VLOOKUP(H3,$O:$P,2,FALSE))</f>
        <v>Era Vandervoort</v>
      </c>
      <c r="M3" s="59" t="str">
        <f t="shared" ref="M3:M27" si="3">IF(ISNA(VLOOKUP(I3,$O:$P,2,FALSE)),"",VLOOKUP(I3,$O:$P,2,FALSE))</f>
        <v>Chu Vanallen</v>
      </c>
      <c r="O3" s="170">
        <f>IF(LEN(Markers!A2)&gt;0,Markers!A2,"")</f>
        <v>1</v>
      </c>
      <c r="P3" s="51" t="str">
        <f>IF(ISNA(VLOOKUP(O3,Markers!$A:$B,2,FALSE)),"",VLOOKUP(O3,Markers!$A:$B,2,FALSE))</f>
        <v>Kristyn Sergio</v>
      </c>
      <c r="Q3" s="6">
        <f>IF(LEN(O3)&gt;0,COUNTIF($F$3:$I$27,O3),"")</f>
        <v>5</v>
      </c>
      <c r="R3" s="51" t="str">
        <f>IF(Q3=0,"NONE",IF(Q3&gt;W$5,"Too Many",IF(Q3&lt;W$5,"Add","")))</f>
        <v>Add</v>
      </c>
      <c r="S3" s="51">
        <f>IF(LEN(O3)&gt;0,COUNTIF($F$3:$F$27,O3),"")</f>
        <v>0</v>
      </c>
      <c r="T3" s="198" t="str">
        <f>IF(S3=0,"NONE",IF(S3&gt;W$6,"Too Many",IF(S3&lt;W$6,"Add","")))</f>
        <v>NONE</v>
      </c>
      <c r="V3" s="199" t="s">
        <v>34</v>
      </c>
      <c r="W3" s="61">
        <f>COUNTIF(Markers!B:B,"&lt;&gt;"&amp;"")-1</f>
        <v>10</v>
      </c>
      <c r="X3" s="56"/>
      <c r="Y3" s="200"/>
    </row>
    <row r="4" spans="1:25" x14ac:dyDescent="0.25">
      <c r="A4" s="51">
        <f>Projects!A4</f>
        <v>2</v>
      </c>
      <c r="B4" s="56" t="str">
        <f>Projects!B4</f>
        <v>Project 2</v>
      </c>
      <c r="C4" s="6" t="str">
        <f>Projects!D4</f>
        <v>Cégep de Chicoutimi</v>
      </c>
      <c r="D4" s="6">
        <f>Projects!G4</f>
        <v>2</v>
      </c>
      <c r="E4" s="56" t="str">
        <f t="shared" ref="E4:E27" si="4">IF(AND(D4&gt;0,OR(D4=F4,D4=G4,D4=H4,D4=I4)),"XX","")</f>
        <v/>
      </c>
      <c r="F4" s="174">
        <v>6</v>
      </c>
      <c r="G4" s="174">
        <v>10</v>
      </c>
      <c r="H4" s="174">
        <v>4</v>
      </c>
      <c r="I4" s="174">
        <v>5</v>
      </c>
      <c r="J4" s="59" t="str">
        <f t="shared" si="0"/>
        <v>Elmer Seawood</v>
      </c>
      <c r="K4" s="59" t="str">
        <f t="shared" si="1"/>
        <v>Rueben Dagenhart</v>
      </c>
      <c r="L4" s="59" t="str">
        <f t="shared" si="2"/>
        <v>Henriette Wilford</v>
      </c>
      <c r="M4" s="59" t="str">
        <f t="shared" si="3"/>
        <v>Era Vandervoort</v>
      </c>
      <c r="O4" s="170">
        <f>IF(LEN(Markers!A3)&gt;0,Markers!A3,"")</f>
        <v>2</v>
      </c>
      <c r="P4" s="51" t="str">
        <f>IF(ISNA(VLOOKUP(O4,Markers!$A:$B,2,FALSE)),"",VLOOKUP(O4,Markers!$A:$B,2,FALSE))</f>
        <v>Chu Vanallen</v>
      </c>
      <c r="Q4" s="6">
        <f t="shared" ref="Q4:Q12" si="5">IF(LEN(O4)&gt;0,COUNTIF($F$3:$I$27,O4),"")</f>
        <v>7</v>
      </c>
      <c r="R4" s="51" t="str">
        <f t="shared" ref="R4:R12" si="6">IF(Q4=0,"NONE",IF(Q4&gt;W$5,"Too Many",IF(Q4&lt;W$5,"Add","")))</f>
        <v>Add</v>
      </c>
      <c r="S4" s="51">
        <f t="shared" ref="S4:S12" si="7">IF(LEN(O4)&gt;0,COUNTIF($F$3:$F$27,O4),"")</f>
        <v>0</v>
      </c>
      <c r="T4" s="198" t="str">
        <f t="shared" ref="T4:T12" si="8">IF(S4=0,"NONE",IF(S4&gt;W$6,"Too Many",IF(S4&lt;W$6,"Add","")))</f>
        <v>NONE</v>
      </c>
      <c r="V4" s="199" t="s">
        <v>28</v>
      </c>
      <c r="W4" s="61">
        <f>'Competition Parameters'!C3</f>
        <v>4</v>
      </c>
      <c r="X4" s="56" t="str">
        <f>IF(W4&gt;'Competition Parameters'!C3,"above limit in Competition Parameters sheet","")</f>
        <v/>
      </c>
      <c r="Y4" s="201"/>
    </row>
    <row r="5" spans="1:25" ht="15" customHeight="1" x14ac:dyDescent="0.25">
      <c r="A5" s="51">
        <f>Projects!A5</f>
        <v>3</v>
      </c>
      <c r="B5" s="56" t="str">
        <f>Projects!B5</f>
        <v>Project 3</v>
      </c>
      <c r="C5" s="6" t="str">
        <f>Projects!D5</f>
        <v>Cégep de Sainte-Foy</v>
      </c>
      <c r="D5" s="6">
        <f>Projects!G5</f>
        <v>3</v>
      </c>
      <c r="E5" s="56" t="str">
        <f t="shared" si="4"/>
        <v/>
      </c>
      <c r="F5" s="174">
        <v>10</v>
      </c>
      <c r="G5" s="174">
        <v>9</v>
      </c>
      <c r="H5" s="174">
        <v>8</v>
      </c>
      <c r="I5" s="174">
        <v>5</v>
      </c>
      <c r="J5" s="59" t="str">
        <f t="shared" si="0"/>
        <v>Rueben Dagenhart</v>
      </c>
      <c r="K5" s="59" t="str">
        <f t="shared" si="1"/>
        <v>Gerard Cutright</v>
      </c>
      <c r="L5" s="59" t="str">
        <f t="shared" si="2"/>
        <v>Dena Demas</v>
      </c>
      <c r="M5" s="59" t="str">
        <f t="shared" si="3"/>
        <v>Era Vandervoort</v>
      </c>
      <c r="O5" s="170">
        <f>IF(LEN(Markers!A4)&gt;0,Markers!A4,"")</f>
        <v>3</v>
      </c>
      <c r="P5" s="51" t="str">
        <f>IF(ISNA(VLOOKUP(O5,Markers!$A:$B,2,FALSE)),"",VLOOKUP(O5,Markers!$A:$B,2,FALSE))</f>
        <v>Yetta Cisneros</v>
      </c>
      <c r="Q5" s="6">
        <f t="shared" si="5"/>
        <v>10</v>
      </c>
      <c r="R5" s="51" t="str">
        <f t="shared" si="6"/>
        <v/>
      </c>
      <c r="S5" s="51">
        <f t="shared" si="7"/>
        <v>4</v>
      </c>
      <c r="T5" s="198" t="str">
        <f t="shared" si="8"/>
        <v>Too Many</v>
      </c>
      <c r="V5" s="199" t="s">
        <v>41</v>
      </c>
      <c r="W5" s="61">
        <f>ROUND(W2*W4/W3,0)</f>
        <v>10</v>
      </c>
      <c r="X5" s="56" t="str">
        <f>IF(W5&gt;'Competition Parameters'!C4,"above limit in Competition Parameters sheet","")</f>
        <v/>
      </c>
      <c r="Y5" s="202"/>
    </row>
    <row r="6" spans="1:25" x14ac:dyDescent="0.25">
      <c r="A6" s="51">
        <f>Projects!A6</f>
        <v>4</v>
      </c>
      <c r="B6" s="56" t="str">
        <f>Projects!B6</f>
        <v>Project 4</v>
      </c>
      <c r="C6" s="6" t="str">
        <f>Projects!D6</f>
        <v>Cégep de Shawinigan</v>
      </c>
      <c r="D6" s="6">
        <f>Projects!G6</f>
        <v>4</v>
      </c>
      <c r="E6" s="56" t="str">
        <f t="shared" si="4"/>
        <v/>
      </c>
      <c r="F6" s="174">
        <v>9</v>
      </c>
      <c r="G6" s="174">
        <v>6</v>
      </c>
      <c r="H6" s="174">
        <v>5</v>
      </c>
      <c r="I6" s="174">
        <v>7</v>
      </c>
      <c r="J6" s="59" t="str">
        <f t="shared" si="0"/>
        <v>Gerard Cutright</v>
      </c>
      <c r="K6" s="59" t="str">
        <f t="shared" si="1"/>
        <v>Elmer Seawood</v>
      </c>
      <c r="L6" s="59" t="str">
        <f t="shared" si="2"/>
        <v>Era Vandervoort</v>
      </c>
      <c r="M6" s="59" t="str">
        <f t="shared" si="3"/>
        <v>Aldo Range</v>
      </c>
      <c r="O6" s="170">
        <f>IF(LEN(Markers!A5)&gt;0,Markers!A5,"")</f>
        <v>4</v>
      </c>
      <c r="P6" s="51" t="str">
        <f>IF(ISNA(VLOOKUP(O6,Markers!$A:$B,2,FALSE)),"",VLOOKUP(O6,Markers!$A:$B,2,FALSE))</f>
        <v>Henriette Wilford</v>
      </c>
      <c r="Q6" s="6">
        <f t="shared" si="5"/>
        <v>10</v>
      </c>
      <c r="R6" s="51" t="str">
        <f t="shared" si="6"/>
        <v/>
      </c>
      <c r="S6" s="51">
        <f t="shared" si="7"/>
        <v>2</v>
      </c>
      <c r="T6" s="198" t="str">
        <f t="shared" si="8"/>
        <v>Add</v>
      </c>
      <c r="V6" s="199" t="s">
        <v>43</v>
      </c>
      <c r="W6" s="61">
        <f>INT(W2/W3+1)</f>
        <v>3</v>
      </c>
      <c r="X6" s="56"/>
      <c r="Y6" s="203" t="s">
        <v>38</v>
      </c>
    </row>
    <row r="7" spans="1:25" ht="15.75" thickBot="1" x14ac:dyDescent="0.3">
      <c r="A7" s="51">
        <f>Projects!A7</f>
        <v>5</v>
      </c>
      <c r="B7" s="56" t="str">
        <f>Projects!B7</f>
        <v>Project 5</v>
      </c>
      <c r="C7" s="6" t="str">
        <f>Projects!D7</f>
        <v>Cégep de Sherbrooke</v>
      </c>
      <c r="D7" s="6">
        <f>Projects!G7</f>
        <v>5</v>
      </c>
      <c r="E7" s="56" t="str">
        <f t="shared" si="4"/>
        <v/>
      </c>
      <c r="F7" s="174">
        <v>3</v>
      </c>
      <c r="G7" s="174">
        <v>10</v>
      </c>
      <c r="H7" s="174">
        <v>8</v>
      </c>
      <c r="I7" s="174">
        <v>2</v>
      </c>
      <c r="J7" s="59" t="str">
        <f t="shared" si="0"/>
        <v>Yetta Cisneros</v>
      </c>
      <c r="K7" s="59" t="str">
        <f t="shared" si="1"/>
        <v>Rueben Dagenhart</v>
      </c>
      <c r="L7" s="59" t="str">
        <f t="shared" si="2"/>
        <v>Dena Demas</v>
      </c>
      <c r="M7" s="59" t="str">
        <f t="shared" si="3"/>
        <v>Chu Vanallen</v>
      </c>
      <c r="O7" s="170">
        <f>IF(LEN(Markers!A6)&gt;0,Markers!A6,"")</f>
        <v>5</v>
      </c>
      <c r="P7" s="51" t="str">
        <f>IF(ISNA(VLOOKUP(O7,Markers!$A:$B,2,FALSE)),"",VLOOKUP(O7,Markers!$A:$B,2,FALSE))</f>
        <v>Era Vandervoort</v>
      </c>
      <c r="Q7" s="6">
        <f t="shared" si="5"/>
        <v>10</v>
      </c>
      <c r="R7" s="51" t="str">
        <f t="shared" si="6"/>
        <v/>
      </c>
      <c r="S7" s="51">
        <f t="shared" si="7"/>
        <v>2</v>
      </c>
      <c r="T7" s="198" t="str">
        <f t="shared" si="8"/>
        <v>Add</v>
      </c>
      <c r="V7" s="204" t="s">
        <v>269</v>
      </c>
      <c r="W7" s="205">
        <f>COUNTIF(F:I,"&lt;&gt;"&amp;"")-W4-1</f>
        <v>92</v>
      </c>
      <c r="X7" s="206"/>
      <c r="Y7" s="207"/>
    </row>
    <row r="8" spans="1:25" x14ac:dyDescent="0.25">
      <c r="A8" s="51">
        <f>Projects!A8</f>
        <v>6</v>
      </c>
      <c r="B8" s="56" t="str">
        <f>Projects!B8</f>
        <v>Project 6</v>
      </c>
      <c r="C8" s="6" t="str">
        <f>Projects!D8</f>
        <v>Collège de Rosemont</v>
      </c>
      <c r="D8" s="6">
        <f>Projects!G8</f>
        <v>6</v>
      </c>
      <c r="E8" s="56" t="str">
        <f t="shared" si="4"/>
        <v/>
      </c>
      <c r="F8" s="174">
        <v>3</v>
      </c>
      <c r="G8" s="174">
        <v>9</v>
      </c>
      <c r="H8" s="174">
        <v>8</v>
      </c>
      <c r="I8" s="174">
        <v>5</v>
      </c>
      <c r="J8" s="59" t="str">
        <f t="shared" si="0"/>
        <v>Yetta Cisneros</v>
      </c>
      <c r="K8" s="59" t="str">
        <f t="shared" si="1"/>
        <v>Gerard Cutright</v>
      </c>
      <c r="L8" s="59" t="str">
        <f t="shared" si="2"/>
        <v>Dena Demas</v>
      </c>
      <c r="M8" s="59" t="str">
        <f t="shared" si="3"/>
        <v>Era Vandervoort</v>
      </c>
      <c r="O8" s="170">
        <f>IF(LEN(Markers!A7)&gt;0,Markers!A7,"")</f>
        <v>6</v>
      </c>
      <c r="P8" s="51" t="str">
        <f>IF(ISNA(VLOOKUP(O8,Markers!$A:$B,2,FALSE)),"",VLOOKUP(O8,Markers!$A:$B,2,FALSE))</f>
        <v>Elmer Seawood</v>
      </c>
      <c r="Q8" s="6">
        <f t="shared" si="5"/>
        <v>10</v>
      </c>
      <c r="R8" s="51" t="str">
        <f t="shared" si="6"/>
        <v/>
      </c>
      <c r="S8" s="51">
        <f t="shared" si="7"/>
        <v>4</v>
      </c>
      <c r="T8" s="198" t="str">
        <f t="shared" si="8"/>
        <v>Too Many</v>
      </c>
    </row>
    <row r="9" spans="1:25" x14ac:dyDescent="0.25">
      <c r="A9" s="51">
        <f>Projects!A9</f>
        <v>7</v>
      </c>
      <c r="B9" s="56" t="str">
        <f>Projects!B9</f>
        <v>Project 7</v>
      </c>
      <c r="C9" s="6" t="str">
        <f>Projects!D9</f>
        <v>Collège Montmorency</v>
      </c>
      <c r="D9" s="6">
        <f>Projects!G9</f>
        <v>0</v>
      </c>
      <c r="E9" s="56" t="str">
        <f t="shared" si="4"/>
        <v/>
      </c>
      <c r="F9" s="174">
        <v>9</v>
      </c>
      <c r="G9" s="174">
        <v>5</v>
      </c>
      <c r="H9" s="174">
        <v>8</v>
      </c>
      <c r="I9" s="174">
        <v>2</v>
      </c>
      <c r="J9" s="59" t="str">
        <f t="shared" si="0"/>
        <v>Gerard Cutright</v>
      </c>
      <c r="K9" s="59" t="str">
        <f t="shared" si="1"/>
        <v>Era Vandervoort</v>
      </c>
      <c r="L9" s="59" t="str">
        <f t="shared" si="2"/>
        <v>Dena Demas</v>
      </c>
      <c r="M9" s="59" t="str">
        <f t="shared" si="3"/>
        <v>Chu Vanallen</v>
      </c>
      <c r="O9" s="170">
        <f>IF(LEN(Markers!A8)&gt;0,Markers!A8,"")</f>
        <v>7</v>
      </c>
      <c r="P9" s="51" t="str">
        <f>IF(ISNA(VLOOKUP(O9,Markers!$A:$B,2,FALSE)),"",VLOOKUP(O9,Markers!$A:$B,2,FALSE))</f>
        <v>Aldo Range</v>
      </c>
      <c r="Q9" s="6">
        <f t="shared" si="5"/>
        <v>10</v>
      </c>
      <c r="R9" s="51" t="str">
        <f t="shared" si="6"/>
        <v/>
      </c>
      <c r="S9" s="51">
        <f t="shared" si="7"/>
        <v>1</v>
      </c>
      <c r="T9" s="198" t="str">
        <f t="shared" si="8"/>
        <v>Add</v>
      </c>
    </row>
    <row r="10" spans="1:25" x14ac:dyDescent="0.25">
      <c r="A10" s="51">
        <f>Projects!A10</f>
        <v>8</v>
      </c>
      <c r="B10" s="56" t="str">
        <f>Projects!B10</f>
        <v>Project 8</v>
      </c>
      <c r="C10" s="6" t="str">
        <f>Projects!D10</f>
        <v>John Abbott College</v>
      </c>
      <c r="D10" s="6">
        <f>Projects!G10</f>
        <v>8</v>
      </c>
      <c r="E10" s="56" t="str">
        <f t="shared" si="4"/>
        <v/>
      </c>
      <c r="F10" s="174">
        <v>6</v>
      </c>
      <c r="G10" s="174">
        <v>10</v>
      </c>
      <c r="H10" s="174">
        <v>3</v>
      </c>
      <c r="I10" s="174">
        <v>1</v>
      </c>
      <c r="J10" s="59" t="str">
        <f t="shared" si="0"/>
        <v>Elmer Seawood</v>
      </c>
      <c r="K10" s="59" t="str">
        <f t="shared" si="1"/>
        <v>Rueben Dagenhart</v>
      </c>
      <c r="L10" s="59" t="str">
        <f t="shared" si="2"/>
        <v>Yetta Cisneros</v>
      </c>
      <c r="M10" s="59" t="str">
        <f t="shared" si="3"/>
        <v>Kristyn Sergio</v>
      </c>
      <c r="O10" s="170">
        <f>IF(LEN(Markers!A9)&gt;0,Markers!A9,"")</f>
        <v>8</v>
      </c>
      <c r="P10" s="51" t="str">
        <f>IF(ISNA(VLOOKUP(O10,Markers!$A:$B,2,FALSE)),"",VLOOKUP(O10,Markers!$A:$B,2,FALSE))</f>
        <v>Dena Demas</v>
      </c>
      <c r="Q10" s="6">
        <f t="shared" si="5"/>
        <v>10</v>
      </c>
      <c r="R10" s="51" t="str">
        <f t="shared" si="6"/>
        <v/>
      </c>
      <c r="S10" s="51">
        <f t="shared" si="7"/>
        <v>2</v>
      </c>
      <c r="T10" s="198" t="str">
        <f t="shared" si="8"/>
        <v>Add</v>
      </c>
    </row>
    <row r="11" spans="1:25" x14ac:dyDescent="0.25">
      <c r="A11" s="51">
        <f>Projects!A11</f>
        <v>9</v>
      </c>
      <c r="B11" s="56" t="str">
        <f>Projects!B11</f>
        <v>Project 9</v>
      </c>
      <c r="C11" s="6" t="str">
        <f>Projects!D11</f>
        <v>Lakehead University</v>
      </c>
      <c r="D11" s="6">
        <f>Projects!G11</f>
        <v>9</v>
      </c>
      <c r="E11" s="56" t="str">
        <f t="shared" si="4"/>
        <v/>
      </c>
      <c r="F11" s="174">
        <v>5</v>
      </c>
      <c r="G11" s="174">
        <v>7</v>
      </c>
      <c r="H11" s="174">
        <v>4</v>
      </c>
      <c r="I11" s="174">
        <v>3</v>
      </c>
      <c r="J11" s="59" t="str">
        <f t="shared" si="0"/>
        <v>Era Vandervoort</v>
      </c>
      <c r="K11" s="59" t="str">
        <f t="shared" si="1"/>
        <v>Aldo Range</v>
      </c>
      <c r="L11" s="59" t="str">
        <f t="shared" si="2"/>
        <v>Henriette Wilford</v>
      </c>
      <c r="M11" s="59" t="str">
        <f t="shared" si="3"/>
        <v>Yetta Cisneros</v>
      </c>
      <c r="O11" s="170">
        <f>IF(LEN(Markers!A10)&gt;0,Markers!A10,"")</f>
        <v>9</v>
      </c>
      <c r="P11" s="51" t="str">
        <f>IF(ISNA(VLOOKUP(O11,Markers!$A:$B,2,FALSE)),"",VLOOKUP(O11,Markers!$A:$B,2,FALSE))</f>
        <v>Gerard Cutright</v>
      </c>
      <c r="Q11" s="6">
        <f t="shared" si="5"/>
        <v>10</v>
      </c>
      <c r="R11" s="51" t="str">
        <f t="shared" si="6"/>
        <v/>
      </c>
      <c r="S11" s="51">
        <f t="shared" si="7"/>
        <v>4</v>
      </c>
      <c r="T11" s="198" t="str">
        <f t="shared" si="8"/>
        <v>Too Many</v>
      </c>
    </row>
    <row r="12" spans="1:25" x14ac:dyDescent="0.25">
      <c r="A12" s="51">
        <f>Projects!A12</f>
        <v>10</v>
      </c>
      <c r="B12" s="56" t="str">
        <f>Projects!B12</f>
        <v>Project 10</v>
      </c>
      <c r="C12" s="6" t="str">
        <f>Projects!D12</f>
        <v>McMaster University</v>
      </c>
      <c r="D12" s="6">
        <f>Projects!G12</f>
        <v>10</v>
      </c>
      <c r="E12" s="56" t="str">
        <f t="shared" si="4"/>
        <v/>
      </c>
      <c r="F12" s="174">
        <v>9</v>
      </c>
      <c r="G12" s="174">
        <v>8</v>
      </c>
      <c r="H12" s="174">
        <v>7</v>
      </c>
      <c r="I12" s="174">
        <v>4</v>
      </c>
      <c r="J12" s="59" t="str">
        <f t="shared" si="0"/>
        <v>Gerard Cutright</v>
      </c>
      <c r="K12" s="59" t="str">
        <f t="shared" si="1"/>
        <v>Dena Demas</v>
      </c>
      <c r="L12" s="59" t="str">
        <f t="shared" si="2"/>
        <v>Aldo Range</v>
      </c>
      <c r="M12" s="59" t="str">
        <f t="shared" si="3"/>
        <v>Henriette Wilford</v>
      </c>
      <c r="O12" s="170">
        <f>IF(LEN(Markers!A11)&gt;0,Markers!A11,"")</f>
        <v>10</v>
      </c>
      <c r="P12" s="51" t="str">
        <f>IF(ISNA(VLOOKUP(O12,Markers!$A:$B,2,FALSE)),"",VLOOKUP(O12,Markers!$A:$B,2,FALSE))</f>
        <v>Rueben Dagenhart</v>
      </c>
      <c r="Q12" s="6">
        <f t="shared" si="5"/>
        <v>10</v>
      </c>
      <c r="R12" s="51" t="str">
        <f t="shared" si="6"/>
        <v/>
      </c>
      <c r="S12" s="51">
        <f t="shared" si="7"/>
        <v>4</v>
      </c>
      <c r="T12" s="198" t="str">
        <f t="shared" si="8"/>
        <v>Too Many</v>
      </c>
    </row>
    <row r="13" spans="1:25" x14ac:dyDescent="0.25">
      <c r="A13" s="51">
        <f>Projects!A13</f>
        <v>11</v>
      </c>
      <c r="B13" s="56" t="str">
        <f>Projects!B13</f>
        <v>Project 11</v>
      </c>
      <c r="C13" s="6" t="str">
        <f>Projects!D13</f>
        <v>Redeemer University</v>
      </c>
      <c r="D13" s="6">
        <f>Projects!G13</f>
        <v>1</v>
      </c>
      <c r="E13" s="56" t="str">
        <f t="shared" si="4"/>
        <v/>
      </c>
      <c r="F13" s="174">
        <v>10</v>
      </c>
      <c r="G13" s="174">
        <v>9</v>
      </c>
      <c r="H13" s="174">
        <v>8</v>
      </c>
      <c r="I13" s="174">
        <v>4</v>
      </c>
      <c r="J13" s="59" t="str">
        <f t="shared" si="0"/>
        <v>Rueben Dagenhart</v>
      </c>
      <c r="K13" s="59" t="str">
        <f t="shared" si="1"/>
        <v>Gerard Cutright</v>
      </c>
      <c r="L13" s="59" t="str">
        <f t="shared" si="2"/>
        <v>Dena Demas</v>
      </c>
      <c r="M13" s="59" t="str">
        <f t="shared" si="3"/>
        <v>Henriette Wilford</v>
      </c>
    </row>
    <row r="14" spans="1:25" x14ac:dyDescent="0.25">
      <c r="A14" s="51">
        <f>Projects!A14</f>
        <v>12</v>
      </c>
      <c r="B14" s="56" t="str">
        <f>Projects!B14</f>
        <v>Project 12</v>
      </c>
      <c r="C14" s="6" t="str">
        <f>Projects!D14</f>
        <v>Athabasca University</v>
      </c>
      <c r="D14" s="6">
        <f>Projects!G14</f>
        <v>2</v>
      </c>
      <c r="E14" s="56" t="str">
        <f t="shared" si="4"/>
        <v/>
      </c>
      <c r="F14" s="174">
        <v>8</v>
      </c>
      <c r="G14" s="174">
        <v>3</v>
      </c>
      <c r="H14" s="174">
        <v>7</v>
      </c>
      <c r="I14" s="174">
        <v>1</v>
      </c>
      <c r="J14" s="59" t="str">
        <f t="shared" si="0"/>
        <v>Dena Demas</v>
      </c>
      <c r="K14" s="59" t="str">
        <f t="shared" si="1"/>
        <v>Yetta Cisneros</v>
      </c>
      <c r="L14" s="59" t="str">
        <f t="shared" si="2"/>
        <v>Aldo Range</v>
      </c>
      <c r="M14" s="59" t="str">
        <f t="shared" si="3"/>
        <v>Kristyn Sergio</v>
      </c>
    </row>
    <row r="15" spans="1:25" x14ac:dyDescent="0.25">
      <c r="A15" s="51">
        <f>Projects!A15</f>
        <v>13</v>
      </c>
      <c r="B15" s="56" t="str">
        <f>Projects!B15</f>
        <v>Project 13</v>
      </c>
      <c r="C15" s="6" t="str">
        <f>Projects!D15</f>
        <v>Capilano University*</v>
      </c>
      <c r="D15" s="6">
        <f>Projects!G15</f>
        <v>3</v>
      </c>
      <c r="E15" s="56" t="str">
        <f t="shared" si="4"/>
        <v/>
      </c>
      <c r="F15" s="174">
        <v>8</v>
      </c>
      <c r="G15" s="174">
        <v>10</v>
      </c>
      <c r="H15" s="174">
        <v>6</v>
      </c>
      <c r="I15" s="174">
        <v>2</v>
      </c>
      <c r="J15" s="59" t="str">
        <f t="shared" si="0"/>
        <v>Dena Demas</v>
      </c>
      <c r="K15" s="59" t="str">
        <f t="shared" si="1"/>
        <v>Rueben Dagenhart</v>
      </c>
      <c r="L15" s="59" t="str">
        <f t="shared" si="2"/>
        <v>Elmer Seawood</v>
      </c>
      <c r="M15" s="59" t="str">
        <f t="shared" si="3"/>
        <v>Chu Vanallen</v>
      </c>
    </row>
    <row r="16" spans="1:25" x14ac:dyDescent="0.25">
      <c r="A16" s="51">
        <f>Projects!A16</f>
        <v>14</v>
      </c>
      <c r="B16" s="56" t="str">
        <f>Projects!B16</f>
        <v>Project 14</v>
      </c>
      <c r="C16" s="6" t="str">
        <f>Projects!D16</f>
        <v>Cégep de Baie-Comeau</v>
      </c>
      <c r="D16" s="6">
        <f>Projects!G16</f>
        <v>4</v>
      </c>
      <c r="E16" s="56" t="str">
        <f t="shared" si="4"/>
        <v/>
      </c>
      <c r="F16" s="174">
        <v>10</v>
      </c>
      <c r="G16" s="174">
        <v>6</v>
      </c>
      <c r="H16" s="174">
        <v>7</v>
      </c>
      <c r="I16" s="174">
        <v>1</v>
      </c>
      <c r="J16" s="59" t="str">
        <f t="shared" si="0"/>
        <v>Rueben Dagenhart</v>
      </c>
      <c r="K16" s="59" t="str">
        <f t="shared" si="1"/>
        <v>Elmer Seawood</v>
      </c>
      <c r="L16" s="59" t="str">
        <f t="shared" si="2"/>
        <v>Aldo Range</v>
      </c>
      <c r="M16" s="59" t="str">
        <f t="shared" si="3"/>
        <v>Kristyn Sergio</v>
      </c>
    </row>
    <row r="17" spans="1:13" x14ac:dyDescent="0.25">
      <c r="A17" s="51">
        <f>Projects!A17</f>
        <v>15</v>
      </c>
      <c r="B17" s="56" t="str">
        <f>Projects!B17</f>
        <v>Project 15</v>
      </c>
      <c r="C17" s="6" t="str">
        <f>Projects!D17</f>
        <v>Cégep de l’Outaouais</v>
      </c>
      <c r="D17" s="6">
        <f>Projects!G17</f>
        <v>0</v>
      </c>
      <c r="E17" s="56" t="str">
        <f t="shared" si="4"/>
        <v/>
      </c>
      <c r="F17" s="174">
        <v>6</v>
      </c>
      <c r="G17" s="174">
        <v>3</v>
      </c>
      <c r="H17" s="174">
        <v>4</v>
      </c>
      <c r="I17" s="174">
        <v>2</v>
      </c>
      <c r="J17" s="59" t="str">
        <f t="shared" si="0"/>
        <v>Elmer Seawood</v>
      </c>
      <c r="K17" s="59" t="str">
        <f t="shared" si="1"/>
        <v>Yetta Cisneros</v>
      </c>
      <c r="L17" s="59" t="str">
        <f t="shared" si="2"/>
        <v>Henriette Wilford</v>
      </c>
      <c r="M17" s="59" t="str">
        <f t="shared" si="3"/>
        <v>Chu Vanallen</v>
      </c>
    </row>
    <row r="18" spans="1:13" x14ac:dyDescent="0.25">
      <c r="A18" s="51">
        <f>Projects!A18</f>
        <v>16</v>
      </c>
      <c r="B18" s="56" t="str">
        <f>Projects!B18</f>
        <v>Project 16</v>
      </c>
      <c r="C18" s="6" t="str">
        <f>Projects!D18</f>
        <v>Cégep de Sorel-Tracy</v>
      </c>
      <c r="D18" s="6">
        <f>Projects!G18</f>
        <v>6</v>
      </c>
      <c r="E18" s="56" t="str">
        <f t="shared" si="4"/>
        <v/>
      </c>
      <c r="F18" s="174">
        <v>10</v>
      </c>
      <c r="G18" s="174">
        <v>9</v>
      </c>
      <c r="H18" s="174">
        <v>7</v>
      </c>
      <c r="I18" s="174">
        <v>4</v>
      </c>
      <c r="J18" s="59" t="str">
        <f t="shared" si="0"/>
        <v>Rueben Dagenhart</v>
      </c>
      <c r="K18" s="59" t="str">
        <f t="shared" si="1"/>
        <v>Gerard Cutright</v>
      </c>
      <c r="L18" s="59" t="str">
        <f t="shared" si="2"/>
        <v>Aldo Range</v>
      </c>
      <c r="M18" s="59" t="str">
        <f t="shared" si="3"/>
        <v>Henriette Wilford</v>
      </c>
    </row>
    <row r="19" spans="1:13" x14ac:dyDescent="0.25">
      <c r="A19" s="51">
        <f>Projects!A19</f>
        <v>17</v>
      </c>
      <c r="B19" s="56" t="str">
        <f>Projects!B19</f>
        <v>Project 17</v>
      </c>
      <c r="C19" s="6" t="str">
        <f>Projects!D19</f>
        <v>Cégep Marie-Victorin</v>
      </c>
      <c r="D19" s="6">
        <f>Projects!G19</f>
        <v>7</v>
      </c>
      <c r="E19" s="56" t="str">
        <f t="shared" si="4"/>
        <v/>
      </c>
      <c r="F19" s="174">
        <v>6</v>
      </c>
      <c r="G19" s="174">
        <v>3</v>
      </c>
      <c r="H19" s="174">
        <v>5</v>
      </c>
      <c r="I19" s="174">
        <v>2</v>
      </c>
      <c r="J19" s="59" t="str">
        <f t="shared" si="0"/>
        <v>Elmer Seawood</v>
      </c>
      <c r="K19" s="59" t="str">
        <f t="shared" si="1"/>
        <v>Yetta Cisneros</v>
      </c>
      <c r="L19" s="59" t="str">
        <f t="shared" si="2"/>
        <v>Era Vandervoort</v>
      </c>
      <c r="M19" s="59" t="str">
        <f t="shared" si="3"/>
        <v>Chu Vanallen</v>
      </c>
    </row>
    <row r="20" spans="1:13" x14ac:dyDescent="0.25">
      <c r="A20" s="51">
        <f>Projects!A20</f>
        <v>18</v>
      </c>
      <c r="B20" s="56" t="str">
        <f>Projects!B20</f>
        <v>Project 18</v>
      </c>
      <c r="C20" s="6" t="str">
        <f>Projects!D20</f>
        <v>Concordia University</v>
      </c>
      <c r="D20" s="6">
        <f>Projects!G20</f>
        <v>8</v>
      </c>
      <c r="E20" s="56" t="str">
        <f t="shared" si="4"/>
        <v/>
      </c>
      <c r="F20" s="174">
        <v>3</v>
      </c>
      <c r="G20" s="174">
        <v>9</v>
      </c>
      <c r="H20" s="174">
        <v>10</v>
      </c>
      <c r="I20" s="174">
        <v>7</v>
      </c>
      <c r="J20" s="59" t="str">
        <f t="shared" si="0"/>
        <v>Yetta Cisneros</v>
      </c>
      <c r="K20" s="59" t="str">
        <f t="shared" si="1"/>
        <v>Gerard Cutright</v>
      </c>
      <c r="L20" s="59" t="str">
        <f t="shared" si="2"/>
        <v>Rueben Dagenhart</v>
      </c>
      <c r="M20" s="59" t="str">
        <f t="shared" si="3"/>
        <v>Aldo Range</v>
      </c>
    </row>
    <row r="21" spans="1:13" x14ac:dyDescent="0.25">
      <c r="A21" s="51">
        <f>Projects!A21</f>
        <v>19</v>
      </c>
      <c r="B21" s="56" t="str">
        <f>Projects!B21</f>
        <v>Project 19</v>
      </c>
      <c r="C21" s="6" t="str">
        <f>Projects!D21</f>
        <v>Dalhousie University</v>
      </c>
      <c r="D21" s="6">
        <f>Projects!G21</f>
        <v>9</v>
      </c>
      <c r="E21" s="56" t="str">
        <f t="shared" si="4"/>
        <v/>
      </c>
      <c r="F21" s="174">
        <v>5</v>
      </c>
      <c r="G21" s="174">
        <v>3</v>
      </c>
      <c r="H21" s="174">
        <v>4</v>
      </c>
      <c r="I21" s="174">
        <v>7</v>
      </c>
      <c r="J21" s="59" t="str">
        <f t="shared" si="0"/>
        <v>Era Vandervoort</v>
      </c>
      <c r="K21" s="59" t="str">
        <f t="shared" si="1"/>
        <v>Yetta Cisneros</v>
      </c>
      <c r="L21" s="59" t="str">
        <f t="shared" si="2"/>
        <v>Henriette Wilford</v>
      </c>
      <c r="M21" s="59" t="str">
        <f t="shared" si="3"/>
        <v>Aldo Range</v>
      </c>
    </row>
    <row r="22" spans="1:13" x14ac:dyDescent="0.25">
      <c r="A22" s="51">
        <f>Projects!A22</f>
        <v>20</v>
      </c>
      <c r="B22" s="56" t="str">
        <f>Projects!B22</f>
        <v>Project 20</v>
      </c>
      <c r="C22" s="6" t="str">
        <f>Projects!D22</f>
        <v>George Brown College</v>
      </c>
      <c r="D22" s="6">
        <f>Projects!G22</f>
        <v>10</v>
      </c>
      <c r="E22" s="56" t="str">
        <f t="shared" si="4"/>
        <v/>
      </c>
      <c r="F22" s="174">
        <v>4</v>
      </c>
      <c r="G22" s="174">
        <v>6</v>
      </c>
      <c r="H22" s="174">
        <v>8</v>
      </c>
      <c r="I22" s="174">
        <v>1</v>
      </c>
      <c r="J22" s="59" t="str">
        <f t="shared" si="0"/>
        <v>Henriette Wilford</v>
      </c>
      <c r="K22" s="59" t="str">
        <f t="shared" si="1"/>
        <v>Elmer Seawood</v>
      </c>
      <c r="L22" s="59" t="str">
        <f t="shared" si="2"/>
        <v>Dena Demas</v>
      </c>
      <c r="M22" s="59" t="str">
        <f t="shared" si="3"/>
        <v>Kristyn Sergio</v>
      </c>
    </row>
    <row r="23" spans="1:13" x14ac:dyDescent="0.25">
      <c r="A23" s="51">
        <f>Projects!A23</f>
        <v>21</v>
      </c>
      <c r="B23" s="56" t="str">
        <f>Projects!B23</f>
        <v>Project 21</v>
      </c>
      <c r="C23" s="6" t="str">
        <f>Projects!D23</f>
        <v>Medicine Hat College</v>
      </c>
      <c r="D23" s="6">
        <f>Projects!G23</f>
        <v>1</v>
      </c>
      <c r="E23" s="56" t="str">
        <f t="shared" si="4"/>
        <v/>
      </c>
      <c r="F23" s="174">
        <v>3</v>
      </c>
      <c r="G23" s="174">
        <v>9</v>
      </c>
      <c r="H23" s="174">
        <v>5</v>
      </c>
      <c r="I23" s="174">
        <v>4</v>
      </c>
      <c r="J23" s="59" t="str">
        <f t="shared" si="0"/>
        <v>Yetta Cisneros</v>
      </c>
      <c r="K23" s="59" t="str">
        <f t="shared" si="1"/>
        <v>Gerard Cutright</v>
      </c>
      <c r="L23" s="59" t="str">
        <f t="shared" si="2"/>
        <v>Era Vandervoort</v>
      </c>
      <c r="M23" s="59" t="str">
        <f t="shared" si="3"/>
        <v>Henriette Wilford</v>
      </c>
    </row>
    <row r="24" spans="1:13" x14ac:dyDescent="0.25">
      <c r="A24" s="51">
        <f>Projects!A24</f>
        <v>22</v>
      </c>
      <c r="B24" s="56" t="str">
        <f>Projects!B24</f>
        <v>Project 22</v>
      </c>
      <c r="C24" s="6" t="str">
        <f>Projects!D24</f>
        <v>Nipissing University</v>
      </c>
      <c r="D24" s="6">
        <f>Projects!G24</f>
        <v>2</v>
      </c>
      <c r="E24" s="56" t="str">
        <f t="shared" si="4"/>
        <v/>
      </c>
      <c r="F24" s="174">
        <v>9</v>
      </c>
      <c r="G24" s="174">
        <v>10</v>
      </c>
      <c r="H24" s="174">
        <v>8</v>
      </c>
      <c r="I24" s="174">
        <v>1</v>
      </c>
      <c r="J24" s="59" t="str">
        <f t="shared" si="0"/>
        <v>Gerard Cutright</v>
      </c>
      <c r="K24" s="59" t="str">
        <f t="shared" si="1"/>
        <v>Rueben Dagenhart</v>
      </c>
      <c r="L24" s="59" t="str">
        <f t="shared" si="2"/>
        <v>Dena Demas</v>
      </c>
      <c r="M24" s="59" t="str">
        <f t="shared" si="3"/>
        <v>Kristyn Sergio</v>
      </c>
    </row>
    <row r="25" spans="1:13" x14ac:dyDescent="0.25">
      <c r="A25" s="51">
        <f>Projects!A25</f>
        <v>23</v>
      </c>
      <c r="B25" s="56" t="str">
        <f>Projects!B25</f>
        <v>Project 23</v>
      </c>
      <c r="C25" s="6" t="str">
        <f>Projects!D25</f>
        <v>North Island College</v>
      </c>
      <c r="D25" s="6">
        <f>Projects!G25</f>
        <v>3</v>
      </c>
      <c r="E25" s="56" t="str">
        <f t="shared" si="4"/>
        <v/>
      </c>
      <c r="F25" s="174">
        <v>4</v>
      </c>
      <c r="G25" s="174">
        <v>6</v>
      </c>
      <c r="H25" s="174">
        <v>7</v>
      </c>
      <c r="I25" s="174">
        <v>2</v>
      </c>
      <c r="J25" s="59" t="str">
        <f t="shared" si="0"/>
        <v>Henriette Wilford</v>
      </c>
      <c r="K25" s="59" t="str">
        <f t="shared" si="1"/>
        <v>Elmer Seawood</v>
      </c>
      <c r="L25" s="59" t="str">
        <f t="shared" si="2"/>
        <v>Aldo Range</v>
      </c>
      <c r="M25" s="59" t="str">
        <f t="shared" si="3"/>
        <v>Chu Vanallen</v>
      </c>
    </row>
    <row r="26" spans="1:13" x14ac:dyDescent="0.25">
      <c r="A26" s="51">
        <f>Projects!A26</f>
        <v>24</v>
      </c>
      <c r="B26" s="56" t="str">
        <f>Projects!B26</f>
        <v>Project 24</v>
      </c>
      <c r="C26" s="6" t="str">
        <f>Projects!D26</f>
        <v>St. Lawrence College</v>
      </c>
      <c r="D26" s="6">
        <f>Projects!G26</f>
        <v>4</v>
      </c>
      <c r="E26" s="56" t="str">
        <f t="shared" si="4"/>
        <v/>
      </c>
      <c r="F26" s="174"/>
      <c r="G26" s="174"/>
      <c r="H26" s="174"/>
      <c r="I26" s="174"/>
      <c r="J26" s="59" t="str">
        <f t="shared" si="0"/>
        <v/>
      </c>
      <c r="K26" s="59" t="str">
        <f t="shared" si="1"/>
        <v/>
      </c>
      <c r="L26" s="59" t="str">
        <f t="shared" si="2"/>
        <v/>
      </c>
      <c r="M26" s="59" t="str">
        <f t="shared" si="3"/>
        <v/>
      </c>
    </row>
    <row r="27" spans="1:13" x14ac:dyDescent="0.25">
      <c r="A27" s="51">
        <f>Projects!A27</f>
        <v>25</v>
      </c>
      <c r="B27" s="56" t="str">
        <f>Projects!B27</f>
        <v>Project 25</v>
      </c>
      <c r="C27" s="6" t="str">
        <f>Projects!D27</f>
        <v>University of Guelph</v>
      </c>
      <c r="D27" s="6">
        <f>Projects!G27</f>
        <v>5</v>
      </c>
      <c r="E27" s="56" t="str">
        <f t="shared" si="4"/>
        <v/>
      </c>
      <c r="F27" s="174"/>
      <c r="G27" s="174"/>
      <c r="H27" s="174"/>
      <c r="I27" s="174"/>
      <c r="J27" s="59" t="str">
        <f t="shared" si="0"/>
        <v/>
      </c>
      <c r="K27" s="59" t="str">
        <f t="shared" si="1"/>
        <v/>
      </c>
      <c r="L27" s="59" t="str">
        <f t="shared" si="2"/>
        <v/>
      </c>
      <c r="M27" s="59" t="str">
        <f t="shared" si="3"/>
        <v/>
      </c>
    </row>
  </sheetData>
  <conditionalFormatting sqref="D3:D27">
    <cfRule type="cellIs" dxfId="0" priority="2" operator="equal">
      <formula>"X"</formula>
    </cfRule>
  </conditionalFormatting>
  <conditionalFormatting sqref="E3:E27">
    <cfRule type="dataBar" priority="23">
      <dataBar>
        <cfvo type="min"/>
        <cfvo type="max"/>
        <color rgb="FF63C384"/>
      </dataBar>
      <extLst>
        <ext xmlns:x14="http://schemas.microsoft.com/office/spreadsheetml/2009/9/main" uri="{B025F937-C7B1-47D3-B67F-A62EFF666E3E}">
          <x14:id>{39E91039-8DB4-4C3E-B85F-29DC3E225A8B}</x14:id>
        </ext>
      </extLst>
    </cfRule>
  </conditionalFormatting>
  <conditionalFormatting sqref="Q3:Q12">
    <cfRule type="colorScale" priority="24">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39E91039-8DB4-4C3E-B85F-29DC3E225A8B}">
            <x14:dataBar minLength="0" maxLength="100" border="1" negativeBarBorderColorSameAsPositive="0">
              <x14:cfvo type="autoMin"/>
              <x14:cfvo type="autoMax"/>
              <x14:borderColor rgb="FF63C384"/>
              <x14:negativeFillColor rgb="FFFF0000"/>
              <x14:negativeBorderColor rgb="FFFF0000"/>
              <x14:axisColor rgb="FF000000"/>
            </x14:dataBar>
          </x14:cfRule>
          <xm:sqref>E3:E27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CE1D-11C7-4D9D-8EA0-77916FEACF7E}">
  <sheetPr codeName="Sheet35">
    <tabColor theme="9" tint="0.79998168889431442"/>
  </sheetPr>
  <dimension ref="A1:AO142"/>
  <sheetViews>
    <sheetView tabSelected="1" topLeftCell="R1" zoomScale="145" zoomScaleNormal="145" workbookViewId="0">
      <pane ySplit="4" topLeftCell="A20" activePane="bottomLeft" state="frozen"/>
      <selection activeCell="D23" sqref="D23"/>
      <selection pane="bottomLeft" sqref="A1:F1"/>
    </sheetView>
  </sheetViews>
  <sheetFormatPr defaultRowHeight="15" x14ac:dyDescent="0.25"/>
  <cols>
    <col min="1" max="1" width="3.7109375" bestFit="1" customWidth="1"/>
    <col min="2" max="2" width="17.7109375" bestFit="1" customWidth="1"/>
    <col min="3" max="5" width="3.7109375" bestFit="1" customWidth="1"/>
    <col min="6" max="6" width="13.140625" bestFit="1" customWidth="1"/>
    <col min="7" max="7" width="10" bestFit="1" customWidth="1"/>
    <col min="8" max="10" width="9" bestFit="1" customWidth="1"/>
    <col min="11" max="13" width="3.7109375" bestFit="1" customWidth="1"/>
    <col min="14" max="14" width="4.7109375" bestFit="1" customWidth="1"/>
    <col min="15" max="15" width="2.5703125" style="4" customWidth="1"/>
    <col min="16" max="16" width="3.7109375" style="4" bestFit="1" customWidth="1"/>
    <col min="17" max="17" width="17.7109375" style="4" bestFit="1" customWidth="1"/>
    <col min="18" max="18" width="3.7109375" bestFit="1" customWidth="1"/>
    <col min="19" max="19" width="6.5703125" bestFit="1" customWidth="1"/>
    <col min="20" max="20" width="6" bestFit="1" customWidth="1"/>
    <col min="21" max="21" width="5.7109375" bestFit="1" customWidth="1"/>
    <col min="22" max="22" width="2.5703125" style="4" customWidth="1"/>
    <col min="23" max="24" width="3.7109375" style="4" bestFit="1" customWidth="1"/>
    <col min="25" max="25" width="17.7109375" style="4" bestFit="1" customWidth="1"/>
    <col min="26" max="27" width="3.7109375" style="4" bestFit="1" customWidth="1"/>
    <col min="28" max="28" width="10" bestFit="1" customWidth="1"/>
    <col min="29" max="29" width="9" bestFit="1" customWidth="1"/>
    <col min="30" max="30" width="9" style="264" bestFit="1" customWidth="1"/>
    <col min="31" max="31" width="9" bestFit="1" customWidth="1"/>
    <col min="32" max="32" width="6" style="4" bestFit="1" customWidth="1"/>
    <col min="33" max="33" width="2.5703125" style="4" customWidth="1"/>
    <col min="34" max="34" width="3.7109375" bestFit="1" customWidth="1"/>
    <col min="35" max="35" width="9.7109375" bestFit="1" customWidth="1"/>
    <col min="36" max="36" width="9" style="103" bestFit="1" customWidth="1"/>
    <col min="37" max="37" width="9" bestFit="1" customWidth="1"/>
    <col min="38" max="38" width="9" style="220" bestFit="1" customWidth="1"/>
    <col min="39" max="39" width="5.140625" bestFit="1" customWidth="1"/>
    <col min="40" max="41" width="6" bestFit="1" customWidth="1"/>
    <col min="42" max="50" width="9.140625" customWidth="1"/>
  </cols>
  <sheetData>
    <row r="1" spans="1:41" ht="15.75" thickBot="1" x14ac:dyDescent="0.3">
      <c r="A1" s="465" t="s">
        <v>270</v>
      </c>
      <c r="B1" s="466"/>
      <c r="C1" s="466"/>
      <c r="D1" s="466"/>
      <c r="E1" s="466"/>
      <c r="F1" s="466"/>
      <c r="G1" s="209" t="s">
        <v>56</v>
      </c>
      <c r="H1" s="210">
        <v>1</v>
      </c>
      <c r="I1" s="210">
        <v>2</v>
      </c>
      <c r="J1" s="210">
        <v>3</v>
      </c>
      <c r="K1" s="211"/>
      <c r="L1" s="212">
        <f>MAX(L5:L104)</f>
        <v>3</v>
      </c>
      <c r="M1" s="213"/>
      <c r="N1" s="211"/>
      <c r="O1"/>
      <c r="P1" s="467" t="s">
        <v>271</v>
      </c>
      <c r="Q1" s="468"/>
      <c r="R1" s="469"/>
      <c r="S1" s="214" t="s">
        <v>272</v>
      </c>
      <c r="T1" s="215">
        <f>AVERAGE(H3:J3)+(AVERAGE(H4:J4)-AVERAGE(H3:J3))*'Competition Parameters'!$C$6</f>
        <v>3.6</v>
      </c>
      <c r="U1" s="216" t="b">
        <f>'Competition Parameters'!C20</f>
        <v>1</v>
      </c>
      <c r="V1"/>
      <c r="W1" s="470" t="str">
        <f>IF('Competition Parameters'!C20,"NORMALIZED ","(NOT NORMALIZED)") &amp; " PROJECT SCORING - PER MARKER"</f>
        <v>NORMALIZED  PROJECT SCORING - PER MARKER</v>
      </c>
      <c r="X1" s="470"/>
      <c r="Y1" s="470"/>
      <c r="Z1" s="470"/>
      <c r="AA1" s="470"/>
      <c r="AB1" s="470"/>
      <c r="AC1" s="470"/>
      <c r="AD1" s="470"/>
      <c r="AE1" s="217"/>
      <c r="AF1" s="218"/>
      <c r="AG1"/>
      <c r="AH1" s="471" t="str">
        <f>IF('Competition Parameters'!C20,"NORMALIZED ","(NOT NORMALIZED)") &amp;" SCORING - PER PROJECT - FINAL RANKING"</f>
        <v>NORMALIZED  SCORING - PER PROJECT - FINAL RANKING</v>
      </c>
      <c r="AI1" s="471"/>
      <c r="AJ1" s="471"/>
      <c r="AK1" s="471"/>
      <c r="AL1" s="471"/>
      <c r="AM1" s="471"/>
      <c r="AN1" s="219"/>
      <c r="AO1" s="220"/>
    </row>
    <row r="2" spans="1:41" s="58" customFormat="1" ht="49.5" customHeight="1" x14ac:dyDescent="0.25">
      <c r="A2" s="410" t="s">
        <v>181</v>
      </c>
      <c r="B2" s="410" t="s">
        <v>182</v>
      </c>
      <c r="C2" s="410" t="s">
        <v>273</v>
      </c>
      <c r="D2" s="410" t="s">
        <v>243</v>
      </c>
      <c r="E2" s="410" t="s">
        <v>69</v>
      </c>
      <c r="F2" s="222"/>
      <c r="G2" s="223" t="s">
        <v>274</v>
      </c>
      <c r="H2" s="224" t="s">
        <v>62</v>
      </c>
      <c r="I2" s="224" t="s">
        <v>64</v>
      </c>
      <c r="J2" s="224" t="s">
        <v>65</v>
      </c>
      <c r="K2" s="410" t="s">
        <v>275</v>
      </c>
      <c r="L2" s="407" t="s">
        <v>276</v>
      </c>
      <c r="M2" s="410" t="s">
        <v>277</v>
      </c>
      <c r="N2" s="410" t="s">
        <v>278</v>
      </c>
      <c r="P2" s="403" t="s">
        <v>181</v>
      </c>
      <c r="Q2" s="403" t="s">
        <v>182</v>
      </c>
      <c r="R2" s="403" t="s">
        <v>279</v>
      </c>
      <c r="S2" s="403" t="s">
        <v>280</v>
      </c>
      <c r="T2" s="225" t="s">
        <v>281</v>
      </c>
      <c r="U2" s="406" t="s">
        <v>282</v>
      </c>
      <c r="W2" s="397" t="s">
        <v>69</v>
      </c>
      <c r="X2" s="397" t="str">
        <f>A2</f>
        <v>Marker #</v>
      </c>
      <c r="Y2" s="397" t="str">
        <f>B2</f>
        <v>Marker Name</v>
      </c>
      <c r="Z2" s="397" t="s">
        <v>273</v>
      </c>
      <c r="AA2" s="397" t="s">
        <v>243</v>
      </c>
      <c r="AB2" s="226" t="str">
        <f t="shared" ref="AB2:AC4" si="0">G2</f>
        <v>Criteria-&gt;</v>
      </c>
      <c r="AC2" s="226" t="str">
        <f t="shared" si="0"/>
        <v>Criteria 1</v>
      </c>
      <c r="AD2" s="226" t="str">
        <f t="shared" ref="AD2:AE4" si="1">I2</f>
        <v>Criteria 2</v>
      </c>
      <c r="AE2" s="226" t="str">
        <f t="shared" si="1"/>
        <v>Criteria 3</v>
      </c>
      <c r="AF2" s="227" t="s">
        <v>283</v>
      </c>
      <c r="AH2" s="228" t="s">
        <v>69</v>
      </c>
      <c r="AI2" s="229" t="s">
        <v>284</v>
      </c>
      <c r="AJ2" s="230" t="str">
        <f>AC2</f>
        <v>Criteria 1</v>
      </c>
      <c r="AK2" s="230" t="str">
        <f t="shared" ref="AK2:AL4" si="2">AD2</f>
        <v>Criteria 2</v>
      </c>
      <c r="AL2" s="230" t="str">
        <f t="shared" si="2"/>
        <v>Criteria 3</v>
      </c>
      <c r="AM2" s="400" t="s">
        <v>285</v>
      </c>
      <c r="AN2" s="400" t="s">
        <v>286</v>
      </c>
      <c r="AO2" s="231"/>
    </row>
    <row r="3" spans="1:41" x14ac:dyDescent="0.25">
      <c r="A3" s="408"/>
      <c r="B3" s="408"/>
      <c r="C3" s="408"/>
      <c r="D3" s="408"/>
      <c r="E3" s="408"/>
      <c r="F3" s="233"/>
      <c r="G3" s="234" t="s">
        <v>287</v>
      </c>
      <c r="H3" s="224">
        <v>1</v>
      </c>
      <c r="I3" s="224">
        <v>1</v>
      </c>
      <c r="J3" s="224">
        <v>1</v>
      </c>
      <c r="K3" s="408"/>
      <c r="L3" s="408"/>
      <c r="M3" s="408"/>
      <c r="N3" s="408"/>
      <c r="O3"/>
      <c r="P3" s="404"/>
      <c r="Q3" s="404"/>
      <c r="R3" s="404"/>
      <c r="S3" s="404"/>
      <c r="T3" s="225"/>
      <c r="U3" s="404"/>
      <c r="V3"/>
      <c r="W3" s="398"/>
      <c r="X3" s="398"/>
      <c r="Y3" s="398"/>
      <c r="Z3" s="398"/>
      <c r="AA3" s="398"/>
      <c r="AB3" s="226" t="str">
        <f t="shared" si="0"/>
        <v>Minimum</v>
      </c>
      <c r="AC3" s="235">
        <f t="shared" si="0"/>
        <v>1</v>
      </c>
      <c r="AD3" s="235">
        <f t="shared" si="1"/>
        <v>1</v>
      </c>
      <c r="AE3" s="235">
        <f t="shared" si="1"/>
        <v>1</v>
      </c>
      <c r="AF3" s="236">
        <f>SUM(AC3:AE3)</f>
        <v>3</v>
      </c>
      <c r="AG3"/>
      <c r="AH3" s="237"/>
      <c r="AI3" s="238"/>
      <c r="AJ3" s="239">
        <f>AC3</f>
        <v>1</v>
      </c>
      <c r="AK3" s="239">
        <f t="shared" si="2"/>
        <v>1</v>
      </c>
      <c r="AL3" s="239">
        <f t="shared" si="2"/>
        <v>1</v>
      </c>
      <c r="AM3" s="401"/>
      <c r="AN3" s="401"/>
      <c r="AO3" s="240"/>
    </row>
    <row r="4" spans="1:41" ht="30" x14ac:dyDescent="0.25">
      <c r="A4" s="409"/>
      <c r="B4" s="409"/>
      <c r="C4" s="409"/>
      <c r="D4" s="409"/>
      <c r="E4" s="409"/>
      <c r="F4" s="241" t="s">
        <v>73</v>
      </c>
      <c r="G4" s="234" t="s">
        <v>288</v>
      </c>
      <c r="H4" s="224">
        <v>5</v>
      </c>
      <c r="I4" s="224">
        <v>5</v>
      </c>
      <c r="J4" s="224">
        <v>5</v>
      </c>
      <c r="K4" s="409"/>
      <c r="L4" s="409"/>
      <c r="M4" s="409"/>
      <c r="N4" s="409"/>
      <c r="O4"/>
      <c r="P4" s="405"/>
      <c r="Q4" s="405"/>
      <c r="R4" s="405"/>
      <c r="S4" s="405"/>
      <c r="T4" s="242">
        <f>AVERAGE(T5:T14)</f>
        <v>3.023261178334554</v>
      </c>
      <c r="U4" s="405"/>
      <c r="V4"/>
      <c r="W4" s="399"/>
      <c r="X4" s="399"/>
      <c r="Y4" s="399"/>
      <c r="Z4" s="399"/>
      <c r="AA4" s="399"/>
      <c r="AB4" s="226" t="str">
        <f t="shared" si="0"/>
        <v>Maximum</v>
      </c>
      <c r="AC4" s="235">
        <f t="shared" si="0"/>
        <v>5</v>
      </c>
      <c r="AD4" s="235">
        <f t="shared" si="1"/>
        <v>5</v>
      </c>
      <c r="AE4" s="235">
        <f t="shared" si="1"/>
        <v>5</v>
      </c>
      <c r="AF4" s="243">
        <f>SUM(AC4:AE4)</f>
        <v>15</v>
      </c>
      <c r="AG4"/>
      <c r="AH4" s="244"/>
      <c r="AI4" s="245" t="s">
        <v>73</v>
      </c>
      <c r="AJ4" s="239">
        <f>AC4</f>
        <v>5</v>
      </c>
      <c r="AK4" s="239">
        <f t="shared" si="2"/>
        <v>5</v>
      </c>
      <c r="AL4" s="239">
        <f t="shared" si="2"/>
        <v>5</v>
      </c>
      <c r="AM4" s="402"/>
      <c r="AN4" s="402"/>
      <c r="AO4" s="231" t="s">
        <v>289</v>
      </c>
    </row>
    <row r="5" spans="1:41" x14ac:dyDescent="0.25">
      <c r="A5" s="246">
        <v>1</v>
      </c>
      <c r="B5" s="246" t="s">
        <v>82</v>
      </c>
      <c r="C5" s="246">
        <v>4</v>
      </c>
      <c r="D5" s="246" t="s">
        <v>253</v>
      </c>
      <c r="E5" s="246">
        <v>8</v>
      </c>
      <c r="F5" s="246" t="s">
        <v>109</v>
      </c>
      <c r="G5" s="247"/>
      <c r="H5" s="248">
        <v>1.5540246963500977</v>
      </c>
      <c r="I5" s="248">
        <v>1.1689050197601318</v>
      </c>
      <c r="J5" s="248">
        <v>3.7703089714050293</v>
      </c>
      <c r="K5" s="249">
        <f>IF(COUNT(H5:J5)&lt;L$1,0,1)</f>
        <v>1</v>
      </c>
      <c r="L5" s="250">
        <f>COUNTIF(H5:J5,"&gt;"&amp;0)</f>
        <v>3</v>
      </c>
      <c r="M5" s="251">
        <f>L5*K5</f>
        <v>3</v>
      </c>
      <c r="N5" s="252">
        <f>IF(M5=L$1,SUM(H5:J5),"")</f>
        <v>6.4932386875152588</v>
      </c>
      <c r="O5"/>
      <c r="P5" s="253">
        <v>1</v>
      </c>
      <c r="Q5" s="254" t="s">
        <v>82</v>
      </c>
      <c r="R5" s="254">
        <f>SUMIF(A:A,P5,M:M)</f>
        <v>15</v>
      </c>
      <c r="S5" s="255">
        <f>IF(P5&gt;0,SUMIF($A:$A,P5,N:N),"")</f>
        <v>44.255806684494019</v>
      </c>
      <c r="T5" s="256">
        <f>IF(R5&gt;0,S5/R5,"")</f>
        <v>2.9503871122996013</v>
      </c>
      <c r="U5" s="257">
        <f>IF(LEN(T5)&gt;0,IF($U$1,$T$1/T5,1),"")</f>
        <v>1.2201788656791126</v>
      </c>
      <c r="V5"/>
      <c r="W5" s="258">
        <f>E5</f>
        <v>8</v>
      </c>
      <c r="X5" s="258">
        <f>A5</f>
        <v>1</v>
      </c>
      <c r="Y5" s="258" t="str">
        <f>B5</f>
        <v>Kristyn Sergio</v>
      </c>
      <c r="Z5" s="258">
        <f>C5</f>
        <v>4</v>
      </c>
      <c r="AA5" s="258" t="str">
        <f>D5</f>
        <v>L</v>
      </c>
      <c r="AB5" s="259"/>
      <c r="AC5" s="260">
        <f>IF(AND(LEN(H5)&gt;0,$K5=1),H5*VLOOKUP($X5,$P:$U,6,FALSE),"")</f>
        <v>1.8961880912297895</v>
      </c>
      <c r="AD5" s="260">
        <f>IF(AND(LEN(I5)&gt;0,$K5=1),I5*VLOOKUP($X5,$P:$U,6,FALSE),"")</f>
        <v>1.4262732010975383</v>
      </c>
      <c r="AE5" s="260">
        <f>IF(AND(LEN(J5)&gt;0,$K5=1),J5*VLOOKUP($X5,$P:$U,6,FALSE),"")</f>
        <v>4.6004513239887705</v>
      </c>
      <c r="AF5" s="260">
        <f>SUM(AC5:AE5)</f>
        <v>7.9229126163160988</v>
      </c>
      <c r="AG5"/>
      <c r="AH5" s="261">
        <v>12</v>
      </c>
      <c r="AI5" s="261" t="s">
        <v>125</v>
      </c>
      <c r="AJ5" s="262">
        <f>IF(SUMIF($W:$W,$AH5,AC:AC)=0,"",SUMIF($W:$W,$AH5,AC:AC)/$AM5)</f>
        <v>3.7600700319937665</v>
      </c>
      <c r="AK5" s="262">
        <f>IF(SUMIF($W:$W,$AH5,AD:AD)=0,"",SUMIF($W:$W,$AH5,AD:AD)/$AM5)</f>
        <v>4.1713624644984639</v>
      </c>
      <c r="AL5" s="262">
        <f>IF(SUMIF($W:$W,$AH5,AE:AE)=0,"",SUMIF($W:$W,$AH5,AE:AE)/$AM5)</f>
        <v>4.3722138784990809</v>
      </c>
      <c r="AM5" s="263">
        <f>SUMIF(E$5:E$104,AH5,M$5:M$104)/L$1</f>
        <v>4</v>
      </c>
      <c r="AN5" s="262">
        <f>IF(LEN(AM5)&gt;0,SUM(AJ5:AL5),"")</f>
        <v>12.303646374991311</v>
      </c>
      <c r="AO5" s="240">
        <v>1</v>
      </c>
    </row>
    <row r="6" spans="1:41" x14ac:dyDescent="0.25">
      <c r="A6" s="246">
        <v>1</v>
      </c>
      <c r="B6" s="246" t="s">
        <v>82</v>
      </c>
      <c r="C6" s="246">
        <v>4</v>
      </c>
      <c r="D6" s="246" t="s">
        <v>253</v>
      </c>
      <c r="E6" s="246">
        <v>12</v>
      </c>
      <c r="F6" s="246" t="s">
        <v>125</v>
      </c>
      <c r="G6" s="247"/>
      <c r="H6" s="248">
        <v>4.3779623508453369</v>
      </c>
      <c r="I6" s="248">
        <v>3.0694065093994141</v>
      </c>
      <c r="J6" s="248">
        <v>4.2018611431121826</v>
      </c>
      <c r="K6" s="249">
        <f>IF(COUNT(H6:J6)&lt;L$1,0,1)</f>
        <v>1</v>
      </c>
      <c r="L6" s="250">
        <f>COUNTIF(H6:J6,"&gt;"&amp;0)</f>
        <v>3</v>
      </c>
      <c r="M6" s="251">
        <f>L6*K6</f>
        <v>3</v>
      </c>
      <c r="N6" s="252">
        <f t="shared" ref="N6:N69" si="3">IF(M6=L$1,SUM(H6:J6),"")</f>
        <v>11.649230003356934</v>
      </c>
      <c r="O6"/>
      <c r="P6" s="253">
        <v>2</v>
      </c>
      <c r="Q6" s="254" t="s">
        <v>86</v>
      </c>
      <c r="R6" s="254">
        <f t="shared" ref="R6:R14" si="4">SUMIF(A:A,P6,M:M)</f>
        <v>21</v>
      </c>
      <c r="S6" s="255">
        <f t="shared" ref="S6:S14" si="5">IF(P6&gt;0,SUMIF($A:$A,P6,N:N),"")</f>
        <v>61.05575156211853</v>
      </c>
      <c r="T6" s="256">
        <f t="shared" ref="T6:T14" si="6">IF(R6&gt;0,S6/R6,"")</f>
        <v>2.9074167410532632</v>
      </c>
      <c r="U6" s="257">
        <f t="shared" ref="U6:U14" si="7">IF(LEN(T6)&gt;0,IF($U$1,$T$1/T6,1),"")</f>
        <v>1.2382125854774559</v>
      </c>
      <c r="V6"/>
      <c r="W6" s="258">
        <f t="shared" ref="W6:W69" si="8">E6</f>
        <v>12</v>
      </c>
      <c r="X6" s="258">
        <f t="shared" ref="X6:X69" si="9">A6</f>
        <v>1</v>
      </c>
      <c r="Y6" s="258" t="str">
        <f t="shared" ref="Y6:Y69" si="10">B6</f>
        <v>Kristyn Sergio</v>
      </c>
      <c r="Z6" s="258">
        <f t="shared" ref="Z6:Z69" si="11">C6</f>
        <v>4</v>
      </c>
      <c r="AA6" s="258" t="str">
        <f t="shared" ref="AA6:AA69" si="12">D6</f>
        <v>L</v>
      </c>
      <c r="AB6" s="259"/>
      <c r="AC6" s="260">
        <f t="shared" ref="AC6:AC69" si="13">IF(AND(LEN(H6)&gt;0,$K6=1),H6*VLOOKUP($X6,$P:$U,6,FALSE),"")</f>
        <v>5.3418971352403242</v>
      </c>
      <c r="AD6" s="260">
        <f t="shared" ref="AD6:AD69" si="14">IF(AND(LEN(I6)&gt;0,$K6=1),I6*VLOOKUP($X6,$P:$U,6,FALSE),"")</f>
        <v>3.7452249529470616</v>
      </c>
      <c r="AE6" s="260">
        <f t="shared" ref="AE6:AE69" si="15">IF(AND(LEN(J6)&gt;0,$K6=1),J6*VLOOKUP($X6,$P:$U,6,FALSE),"")</f>
        <v>5.1270221633437627</v>
      </c>
      <c r="AF6" s="260">
        <f t="shared" ref="AF6:AF69" si="16">SUM(AC6:AE6)</f>
        <v>14.214144251531149</v>
      </c>
      <c r="AG6"/>
      <c r="AH6" s="261">
        <v>9</v>
      </c>
      <c r="AI6" s="261" t="s">
        <v>113</v>
      </c>
      <c r="AJ6" s="262">
        <f>IF(SUMIF($W:$W,$AH6,AC:AC)=0,"",SUMIF($W:$W,$AH6,AC:AC)/$AM6)</f>
        <v>4.7035258100878501</v>
      </c>
      <c r="AK6" s="262">
        <f>IF(SUMIF($W:$W,$AH6,AD:AD)=0,"",SUMIF($W:$W,$AH6,AD:AD)/$AM6)</f>
        <v>4.146687264414628</v>
      </c>
      <c r="AL6" s="262">
        <f>IF(SUMIF($W:$W,$AH6,AE:AE)=0,"",SUMIF($W:$W,$AH6,AE:AE)/$AM6)</f>
        <v>3.2636295611053692</v>
      </c>
      <c r="AM6" s="263">
        <f>SUMIF(E$5:E$104,AH6,M$5:M$104)/L$1</f>
        <v>4</v>
      </c>
      <c r="AN6" s="262">
        <f>IF(LEN(AM6)&gt;0,SUM(AJ6:AL6),"")</f>
        <v>12.113842635607845</v>
      </c>
      <c r="AO6" s="240">
        <v>2</v>
      </c>
    </row>
    <row r="7" spans="1:41" x14ac:dyDescent="0.25">
      <c r="A7" s="246">
        <v>1</v>
      </c>
      <c r="B7" s="246" t="s">
        <v>82</v>
      </c>
      <c r="C7" s="246">
        <v>4</v>
      </c>
      <c r="D7" s="246" t="s">
        <v>253</v>
      </c>
      <c r="E7" s="246">
        <v>14</v>
      </c>
      <c r="F7" s="246" t="s">
        <v>133</v>
      </c>
      <c r="G7" s="247"/>
      <c r="H7" s="248">
        <v>4.934135913848877</v>
      </c>
      <c r="I7" s="248">
        <v>3.0983955860137939</v>
      </c>
      <c r="J7" s="248">
        <v>1.272364616394043</v>
      </c>
      <c r="K7" s="249">
        <f>IF(COUNT(H7:J7)&lt;L$1,0,1)</f>
        <v>1</v>
      </c>
      <c r="L7" s="250">
        <f>COUNTIF(H7:J7,"&gt;"&amp;0)</f>
        <v>3</v>
      </c>
      <c r="M7" s="251">
        <f>L7*K7</f>
        <v>3</v>
      </c>
      <c r="N7" s="252">
        <f t="shared" si="3"/>
        <v>9.3048961162567139</v>
      </c>
      <c r="O7"/>
      <c r="P7" s="253">
        <v>3</v>
      </c>
      <c r="Q7" s="254" t="s">
        <v>90</v>
      </c>
      <c r="R7" s="254">
        <f t="shared" si="4"/>
        <v>30</v>
      </c>
      <c r="S7" s="255">
        <f t="shared" si="5"/>
        <v>86.440309762954712</v>
      </c>
      <c r="T7" s="256">
        <f t="shared" si="6"/>
        <v>2.8813436587651569</v>
      </c>
      <c r="U7" s="257">
        <f t="shared" si="7"/>
        <v>1.2494170867291943</v>
      </c>
      <c r="V7"/>
      <c r="W7" s="258">
        <f t="shared" si="8"/>
        <v>14</v>
      </c>
      <c r="X7" s="258">
        <f t="shared" si="9"/>
        <v>1</v>
      </c>
      <c r="Y7" s="258" t="str">
        <f t="shared" si="10"/>
        <v>Kristyn Sergio</v>
      </c>
      <c r="Z7" s="258">
        <f t="shared" si="11"/>
        <v>4</v>
      </c>
      <c r="AA7" s="258" t="str">
        <f t="shared" si="12"/>
        <v>L</v>
      </c>
      <c r="AB7" s="259"/>
      <c r="AC7" s="260">
        <f t="shared" si="13"/>
        <v>6.0205283624666945</v>
      </c>
      <c r="AD7" s="260">
        <f t="shared" si="14"/>
        <v>3.7805968115674804</v>
      </c>
      <c r="AE7" s="260">
        <f t="shared" si="15"/>
        <v>1.5525124143619227</v>
      </c>
      <c r="AF7" s="260">
        <f t="shared" si="16"/>
        <v>11.353637588396097</v>
      </c>
      <c r="AG7"/>
      <c r="AH7" s="261">
        <v>19</v>
      </c>
      <c r="AI7" s="261" t="s">
        <v>153</v>
      </c>
      <c r="AJ7" s="262">
        <f>IF(SUMIF($W:$W,$AH7,AC:AC)=0,"",SUMIF($W:$W,$AH7,AC:AC)/$AM7)</f>
        <v>3.1326012909820804</v>
      </c>
      <c r="AK7" s="262">
        <f>IF(SUMIF($W:$W,$AH7,AD:AD)=0,"",SUMIF($W:$W,$AH7,AD:AD)/$AM7)</f>
        <v>4.2588141844247867</v>
      </c>
      <c r="AL7" s="262">
        <f>IF(SUMIF($W:$W,$AH7,AE:AE)=0,"",SUMIF($W:$W,$AH7,AE:AE)/$AM7)</f>
        <v>4.4063330722899563</v>
      </c>
      <c r="AM7" s="263">
        <f>SUMIF(E$5:E$104,AH7,M$5:M$104)/L$1</f>
        <v>4</v>
      </c>
      <c r="AN7" s="262">
        <f>IF(LEN(AM7)&gt;0,SUM(AJ7:AL7),"")</f>
        <v>11.797748547696823</v>
      </c>
      <c r="AO7" s="240">
        <v>3</v>
      </c>
    </row>
    <row r="8" spans="1:41" x14ac:dyDescent="0.25">
      <c r="A8" s="246">
        <v>1</v>
      </c>
      <c r="B8" s="246" t="s">
        <v>82</v>
      </c>
      <c r="C8" s="246">
        <v>4</v>
      </c>
      <c r="D8" s="246" t="s">
        <v>253</v>
      </c>
      <c r="E8" s="246">
        <v>20</v>
      </c>
      <c r="F8" s="246" t="s">
        <v>157</v>
      </c>
      <c r="G8" s="247"/>
      <c r="H8" s="248">
        <v>3.5002133846282959</v>
      </c>
      <c r="I8" s="248">
        <v>2.3173995018005371</v>
      </c>
      <c r="J8" s="248">
        <v>2.1136438846588135</v>
      </c>
      <c r="K8" s="249">
        <f>IF(COUNT(H8:J8)&lt;L$1,0,1)</f>
        <v>1</v>
      </c>
      <c r="L8" s="250">
        <f>COUNTIF(H8:J8,"&gt;"&amp;0)</f>
        <v>3</v>
      </c>
      <c r="M8" s="251">
        <f>L8*K8</f>
        <v>3</v>
      </c>
      <c r="N8" s="252">
        <f t="shared" si="3"/>
        <v>7.9312567710876465</v>
      </c>
      <c r="O8"/>
      <c r="P8" s="253">
        <v>4</v>
      </c>
      <c r="Q8" s="254" t="s">
        <v>94</v>
      </c>
      <c r="R8" s="254">
        <f t="shared" si="4"/>
        <v>30</v>
      </c>
      <c r="S8" s="255">
        <f t="shared" si="5"/>
        <v>94.471516847610474</v>
      </c>
      <c r="T8" s="256">
        <f t="shared" si="6"/>
        <v>3.1490505615870159</v>
      </c>
      <c r="U8" s="257">
        <f t="shared" si="7"/>
        <v>1.143201714165466</v>
      </c>
      <c r="V8"/>
      <c r="W8" s="258">
        <f t="shared" si="8"/>
        <v>20</v>
      </c>
      <c r="X8" s="258">
        <f t="shared" si="9"/>
        <v>1</v>
      </c>
      <c r="Y8" s="258" t="str">
        <f t="shared" si="10"/>
        <v>Kristyn Sergio</v>
      </c>
      <c r="Z8" s="258">
        <f t="shared" si="11"/>
        <v>4</v>
      </c>
      <c r="AA8" s="258" t="str">
        <f t="shared" si="12"/>
        <v>L</v>
      </c>
      <c r="AB8" s="259"/>
      <c r="AC8" s="260">
        <f t="shared" si="13"/>
        <v>4.2708863972906013</v>
      </c>
      <c r="AD8" s="260">
        <f t="shared" si="14"/>
        <v>2.8276418954323201</v>
      </c>
      <c r="AE8" s="260">
        <f t="shared" si="15"/>
        <v>2.5790235976325842</v>
      </c>
      <c r="AF8" s="260">
        <f t="shared" si="16"/>
        <v>9.677551890355506</v>
      </c>
      <c r="AG8"/>
      <c r="AH8" s="261">
        <v>11</v>
      </c>
      <c r="AI8" s="261" t="s">
        <v>121</v>
      </c>
      <c r="AJ8" s="262">
        <f>IF(SUMIF($W:$W,$AH8,AC:AC)=0,"",SUMIF($W:$W,$AH8,AC:AC)/$AM8)</f>
        <v>4.5209447736075639</v>
      </c>
      <c r="AK8" s="262">
        <f>IF(SUMIF($W:$W,$AH8,AD:AD)=0,"",SUMIF($W:$W,$AH8,AD:AD)/$AM8)</f>
        <v>3.282947534049387</v>
      </c>
      <c r="AL8" s="262">
        <f>IF(SUMIF($W:$W,$AH8,AE:AE)=0,"",SUMIF($W:$W,$AH8,AE:AE)/$AM8)</f>
        <v>3.9217510585480424</v>
      </c>
      <c r="AM8" s="263">
        <f>SUMIF(E$5:E$104,AH8,M$5:M$104)/L$1</f>
        <v>4</v>
      </c>
      <c r="AN8" s="262">
        <f>IF(LEN(AM8)&gt;0,SUM(AJ8:AL8),"")</f>
        <v>11.725643366204993</v>
      </c>
      <c r="AO8" s="240">
        <v>4</v>
      </c>
    </row>
    <row r="9" spans="1:41" x14ac:dyDescent="0.25">
      <c r="A9" s="246">
        <v>1</v>
      </c>
      <c r="B9" s="246" t="s">
        <v>82</v>
      </c>
      <c r="C9" s="246">
        <v>4</v>
      </c>
      <c r="D9" s="246" t="s">
        <v>253</v>
      </c>
      <c r="E9" s="246">
        <v>22</v>
      </c>
      <c r="F9" s="246" t="s">
        <v>165</v>
      </c>
      <c r="G9" s="247"/>
      <c r="H9" s="248">
        <v>3.7315025329589844</v>
      </c>
      <c r="I9" s="248">
        <v>2.6081511974334717</v>
      </c>
      <c r="J9" s="248">
        <v>2.5375313758850098</v>
      </c>
      <c r="K9" s="249">
        <f>IF(COUNT(H9:J9)&lt;L$1,0,1)</f>
        <v>1</v>
      </c>
      <c r="L9" s="250">
        <f>COUNTIF(H9:J9,"&gt;"&amp;0)</f>
        <v>3</v>
      </c>
      <c r="M9" s="251">
        <f>L9*K9</f>
        <v>3</v>
      </c>
      <c r="N9" s="252">
        <f t="shared" si="3"/>
        <v>8.8771851062774658</v>
      </c>
      <c r="O9"/>
      <c r="P9" s="253">
        <v>5</v>
      </c>
      <c r="Q9" s="254" t="s">
        <v>98</v>
      </c>
      <c r="R9" s="254">
        <f t="shared" si="4"/>
        <v>30</v>
      </c>
      <c r="S9" s="255">
        <f t="shared" si="5"/>
        <v>104.50654625892639</v>
      </c>
      <c r="T9" s="256">
        <f t="shared" si="6"/>
        <v>3.4835515419642129</v>
      </c>
      <c r="U9" s="257">
        <f t="shared" si="7"/>
        <v>1.0334280852839419</v>
      </c>
      <c r="V9"/>
      <c r="W9" s="258">
        <f t="shared" si="8"/>
        <v>22</v>
      </c>
      <c r="X9" s="258">
        <f t="shared" si="9"/>
        <v>1</v>
      </c>
      <c r="Y9" s="258" t="str">
        <f t="shared" si="10"/>
        <v>Kristyn Sergio</v>
      </c>
      <c r="Z9" s="258">
        <f t="shared" si="11"/>
        <v>4</v>
      </c>
      <c r="AA9" s="258" t="str">
        <f t="shared" si="12"/>
        <v>L</v>
      </c>
      <c r="AB9" s="259"/>
      <c r="AC9" s="260">
        <f t="shared" si="13"/>
        <v>4.5531005279446291</v>
      </c>
      <c r="AD9" s="260">
        <f t="shared" si="14"/>
        <v>3.1824109696039926</v>
      </c>
      <c r="AE9" s="260">
        <f t="shared" si="15"/>
        <v>3.0962421558525293</v>
      </c>
      <c r="AF9" s="260">
        <f t="shared" si="16"/>
        <v>10.831753653401151</v>
      </c>
      <c r="AG9"/>
      <c r="AH9" s="261">
        <v>10</v>
      </c>
      <c r="AI9" s="261" t="s">
        <v>117</v>
      </c>
      <c r="AJ9" s="262">
        <f>IF(SUMIF($W:$W,$AH9,AC:AC)=0,"",SUMIF($W:$W,$AH9,AC:AC)/$AM9)</f>
        <v>3.7629391204290878</v>
      </c>
      <c r="AK9" s="262">
        <f>IF(SUMIF($W:$W,$AH9,AD:AD)=0,"",SUMIF($W:$W,$AH9,AD:AD)/$AM9)</f>
        <v>3.5327639808671538</v>
      </c>
      <c r="AL9" s="262">
        <f>IF(SUMIF($W:$W,$AH9,AE:AE)=0,"",SUMIF($W:$W,$AH9,AE:AE)/$AM9)</f>
        <v>4.1811681864791854</v>
      </c>
      <c r="AM9" s="263">
        <f>SUMIF(E$5:E$104,AH9,M$5:M$104)/L$1</f>
        <v>4</v>
      </c>
      <c r="AN9" s="262">
        <f>IF(LEN(AM9)&gt;0,SUM(AJ9:AL9),"")</f>
        <v>11.476871287775428</v>
      </c>
      <c r="AO9" s="240">
        <v>5</v>
      </c>
    </row>
    <row r="10" spans="1:41" x14ac:dyDescent="0.25">
      <c r="A10" s="246">
        <v>2</v>
      </c>
      <c r="B10" s="246" t="s">
        <v>86</v>
      </c>
      <c r="C10" s="246">
        <v>4</v>
      </c>
      <c r="D10" s="246" t="s">
        <v>253</v>
      </c>
      <c r="E10" s="246">
        <v>1</v>
      </c>
      <c r="F10" s="246" t="s">
        <v>81</v>
      </c>
      <c r="G10" s="247"/>
      <c r="H10" s="248">
        <v>1.8214123249053955</v>
      </c>
      <c r="I10" s="248">
        <v>4.5037050247192383</v>
      </c>
      <c r="J10" s="248">
        <v>1.60502028465271</v>
      </c>
      <c r="K10" s="249">
        <f>IF(COUNT(H10:J10)&lt;L$1,0,1)</f>
        <v>1</v>
      </c>
      <c r="L10" s="250">
        <f>COUNTIF(H10:J10,"&gt;"&amp;0)</f>
        <v>3</v>
      </c>
      <c r="M10" s="251">
        <f>L10*K10</f>
        <v>3</v>
      </c>
      <c r="N10" s="252">
        <f t="shared" si="3"/>
        <v>7.9301376342773438</v>
      </c>
      <c r="O10"/>
      <c r="P10" s="253">
        <v>6</v>
      </c>
      <c r="Q10" s="254" t="s">
        <v>102</v>
      </c>
      <c r="R10" s="254">
        <f t="shared" si="4"/>
        <v>30</v>
      </c>
      <c r="S10" s="255">
        <f t="shared" si="5"/>
        <v>101.40495610237122</v>
      </c>
      <c r="T10" s="256">
        <f t="shared" si="6"/>
        <v>3.3801652034123739</v>
      </c>
      <c r="U10" s="257">
        <f t="shared" si="7"/>
        <v>1.0650367018646594</v>
      </c>
      <c r="V10"/>
      <c r="W10" s="258">
        <f t="shared" si="8"/>
        <v>1</v>
      </c>
      <c r="X10" s="258">
        <f t="shared" si="9"/>
        <v>2</v>
      </c>
      <c r="Y10" s="258" t="str">
        <f t="shared" si="10"/>
        <v>Chu Vanallen</v>
      </c>
      <c r="Z10" s="258">
        <f t="shared" si="11"/>
        <v>4</v>
      </c>
      <c r="AA10" s="258" t="str">
        <f t="shared" si="12"/>
        <v>L</v>
      </c>
      <c r="AB10" s="259"/>
      <c r="AC10" s="260">
        <f t="shared" si="13"/>
        <v>2.255295664041614</v>
      </c>
      <c r="AD10" s="260">
        <f t="shared" si="14"/>
        <v>5.5765442428854177</v>
      </c>
      <c r="AE10" s="260">
        <f t="shared" si="15"/>
        <v>1.9873563164035943</v>
      </c>
      <c r="AF10" s="260">
        <f t="shared" si="16"/>
        <v>9.8191962233306267</v>
      </c>
      <c r="AG10"/>
      <c r="AH10" s="261">
        <v>16</v>
      </c>
      <c r="AI10" s="261" t="s">
        <v>141</v>
      </c>
      <c r="AJ10" s="262">
        <f>IF(SUMIF($W:$W,$AH10,AC:AC)=0,"",SUMIF($W:$W,$AH10,AC:AC)/$AM10)</f>
        <v>3.6079736688060322</v>
      </c>
      <c r="AK10" s="262">
        <f>IF(SUMIF($W:$W,$AH10,AD:AD)=0,"",SUMIF($W:$W,$AH10,AD:AD)/$AM10)</f>
        <v>3.8011349704473885</v>
      </c>
      <c r="AL10" s="262">
        <f>IF(SUMIF($W:$W,$AH10,AE:AE)=0,"",SUMIF($W:$W,$AH10,AE:AE)/$AM10)</f>
        <v>3.9471709335021199</v>
      </c>
      <c r="AM10" s="263">
        <f>SUMIF(E$5:E$104,AH10,M$5:M$104)/L$1</f>
        <v>4</v>
      </c>
      <c r="AN10" s="262">
        <f>IF(LEN(AM10)&gt;0,SUM(AJ10:AL10),"")</f>
        <v>11.35627957275554</v>
      </c>
      <c r="AO10" s="240">
        <v>6</v>
      </c>
    </row>
    <row r="11" spans="1:41" x14ac:dyDescent="0.25">
      <c r="A11" s="246">
        <v>2</v>
      </c>
      <c r="B11" s="246" t="s">
        <v>86</v>
      </c>
      <c r="C11" s="246">
        <v>4</v>
      </c>
      <c r="D11" s="246" t="s">
        <v>253</v>
      </c>
      <c r="E11" s="246">
        <v>5</v>
      </c>
      <c r="F11" s="246" t="s">
        <v>97</v>
      </c>
      <c r="G11" s="247"/>
      <c r="H11" s="248">
        <v>2.6064944267272949</v>
      </c>
      <c r="I11" s="248">
        <v>3.43581223487854</v>
      </c>
      <c r="J11" s="248">
        <v>3.1966381072998047</v>
      </c>
      <c r="K11" s="249">
        <f>IF(COUNT(H11:J11)&lt;L$1,0,1)</f>
        <v>1</v>
      </c>
      <c r="L11" s="250">
        <f>COUNTIF(H11:J11,"&gt;"&amp;0)</f>
        <v>3</v>
      </c>
      <c r="M11" s="251">
        <f>L11*K11</f>
        <v>3</v>
      </c>
      <c r="N11" s="252">
        <f t="shared" si="3"/>
        <v>9.2389447689056396</v>
      </c>
      <c r="O11"/>
      <c r="P11" s="253">
        <v>7</v>
      </c>
      <c r="Q11" s="254" t="s">
        <v>106</v>
      </c>
      <c r="R11" s="254">
        <f t="shared" si="4"/>
        <v>30</v>
      </c>
      <c r="S11" s="255">
        <f t="shared" si="5"/>
        <v>84.934995889663696</v>
      </c>
      <c r="T11" s="256">
        <f t="shared" si="6"/>
        <v>2.8311665296554565</v>
      </c>
      <c r="U11" s="257">
        <f t="shared" si="7"/>
        <v>1.2715606667044443</v>
      </c>
      <c r="V11"/>
      <c r="W11" s="258">
        <f t="shared" si="8"/>
        <v>5</v>
      </c>
      <c r="X11" s="258">
        <f t="shared" si="9"/>
        <v>2</v>
      </c>
      <c r="Y11" s="258" t="str">
        <f t="shared" si="10"/>
        <v>Chu Vanallen</v>
      </c>
      <c r="Z11" s="258">
        <f t="shared" si="11"/>
        <v>4</v>
      </c>
      <c r="AA11" s="258" t="str">
        <f t="shared" si="12"/>
        <v>L</v>
      </c>
      <c r="AB11" s="259"/>
      <c r="AC11" s="260">
        <f t="shared" si="13"/>
        <v>3.2273942031505833</v>
      </c>
      <c r="AD11" s="260">
        <f t="shared" si="14"/>
        <v>4.254265950564033</v>
      </c>
      <c r="AE11" s="260">
        <f t="shared" si="15"/>
        <v>3.9581175356754525</v>
      </c>
      <c r="AF11" s="260">
        <f t="shared" si="16"/>
        <v>11.439777689390068</v>
      </c>
      <c r="AG11"/>
      <c r="AH11" s="261">
        <v>13</v>
      </c>
      <c r="AI11" s="261" t="s">
        <v>129</v>
      </c>
      <c r="AJ11" s="262">
        <f>IF(SUMIF($W:$W,$AH11,AC:AC)=0,"",SUMIF($W:$W,$AH11,AC:AC)/$AM11)</f>
        <v>2.9199668153729359</v>
      </c>
      <c r="AK11" s="262">
        <f>IF(SUMIF($W:$W,$AH11,AD:AD)=0,"",SUMIF($W:$W,$AH11,AD:AD)/$AM11)</f>
        <v>2.9021610656395191</v>
      </c>
      <c r="AL11" s="262">
        <f>IF(SUMIF($W:$W,$AH11,AE:AE)=0,"",SUMIF($W:$W,$AH11,AE:AE)/$AM11)</f>
        <v>5.4723380489107081</v>
      </c>
      <c r="AM11" s="263">
        <f>SUMIF(E$5:E$104,AH11,M$5:M$104)/L$1</f>
        <v>4</v>
      </c>
      <c r="AN11" s="262">
        <f>IF(LEN(AM11)&gt;0,SUM(AJ11:AL11),"")</f>
        <v>11.294465929923163</v>
      </c>
      <c r="AO11" s="240">
        <v>7</v>
      </c>
    </row>
    <row r="12" spans="1:41" x14ac:dyDescent="0.25">
      <c r="A12" s="246">
        <v>2</v>
      </c>
      <c r="B12" s="246" t="s">
        <v>86</v>
      </c>
      <c r="C12" s="246">
        <v>4</v>
      </c>
      <c r="D12" s="246" t="s">
        <v>253</v>
      </c>
      <c r="E12" s="246">
        <v>7</v>
      </c>
      <c r="F12" s="246" t="s">
        <v>105</v>
      </c>
      <c r="G12" s="247"/>
      <c r="H12" s="248">
        <v>3.9178225994110107</v>
      </c>
      <c r="I12" s="248">
        <v>1.4932827949523926</v>
      </c>
      <c r="J12" s="248">
        <v>2.2998611927032471</v>
      </c>
      <c r="K12" s="249">
        <f>IF(COUNT(H12:J12)&lt;L$1,0,1)</f>
        <v>1</v>
      </c>
      <c r="L12" s="250">
        <f>COUNTIF(H12:J12,"&gt;"&amp;0)</f>
        <v>3</v>
      </c>
      <c r="M12" s="251">
        <f>L12*K12</f>
        <v>3</v>
      </c>
      <c r="N12" s="252">
        <f t="shared" si="3"/>
        <v>7.7109665870666504</v>
      </c>
      <c r="O12"/>
      <c r="P12" s="253">
        <v>8</v>
      </c>
      <c r="Q12" s="254" t="s">
        <v>110</v>
      </c>
      <c r="R12" s="254">
        <f t="shared" si="4"/>
        <v>30</v>
      </c>
      <c r="S12" s="255">
        <f t="shared" si="5"/>
        <v>82.972825288772583</v>
      </c>
      <c r="T12" s="256">
        <f t="shared" si="6"/>
        <v>2.7657608429590863</v>
      </c>
      <c r="U12" s="257">
        <f t="shared" si="7"/>
        <v>1.3016309812776008</v>
      </c>
      <c r="V12"/>
      <c r="W12" s="258">
        <f t="shared" si="8"/>
        <v>7</v>
      </c>
      <c r="X12" s="258">
        <f t="shared" si="9"/>
        <v>2</v>
      </c>
      <c r="Y12" s="258" t="str">
        <f t="shared" si="10"/>
        <v>Chu Vanallen</v>
      </c>
      <c r="Z12" s="258">
        <f t="shared" si="11"/>
        <v>4</v>
      </c>
      <c r="AA12" s="258" t="str">
        <f t="shared" si="12"/>
        <v>L</v>
      </c>
      <c r="AB12" s="259"/>
      <c r="AC12" s="260">
        <f t="shared" si="13"/>
        <v>4.8510972502587144</v>
      </c>
      <c r="AD12" s="260">
        <f t="shared" si="14"/>
        <v>1.8490015503870036</v>
      </c>
      <c r="AE12" s="260">
        <f t="shared" si="15"/>
        <v>2.8477170736563533</v>
      </c>
      <c r="AF12" s="260">
        <f t="shared" si="16"/>
        <v>9.5478158743020707</v>
      </c>
      <c r="AG12"/>
      <c r="AH12" s="261">
        <v>5</v>
      </c>
      <c r="AI12" s="261" t="s">
        <v>97</v>
      </c>
      <c r="AJ12" s="262">
        <f>IF(SUMIF($W:$W,$AH12,AC:AC)=0,"",SUMIF($W:$W,$AH12,AC:AC)/$AM12)</f>
        <v>3.2604711226205731</v>
      </c>
      <c r="AK12" s="262">
        <f>IF(SUMIF($W:$W,$AH12,AD:AD)=0,"",SUMIF($W:$W,$AH12,AD:AD)/$AM12)</f>
        <v>4.4900382606967231</v>
      </c>
      <c r="AL12" s="262">
        <f>IF(SUMIF($W:$W,$AH12,AE:AE)=0,"",SUMIF($W:$W,$AH12,AE:AE)/$AM12)</f>
        <v>3.4691938918915755</v>
      </c>
      <c r="AM12" s="263">
        <f>SUMIF(E$5:E$104,AH12,M$5:M$104)/L$1</f>
        <v>4</v>
      </c>
      <c r="AN12" s="262">
        <f>IF(LEN(AM12)&gt;0,SUM(AJ12:AL12),"")</f>
        <v>11.219703275208872</v>
      </c>
      <c r="AO12" s="240">
        <v>8</v>
      </c>
    </row>
    <row r="13" spans="1:41" x14ac:dyDescent="0.25">
      <c r="A13" s="246">
        <v>2</v>
      </c>
      <c r="B13" s="246" t="s">
        <v>86</v>
      </c>
      <c r="C13" s="246">
        <v>4</v>
      </c>
      <c r="D13" s="246" t="s">
        <v>253</v>
      </c>
      <c r="E13" s="246">
        <v>13</v>
      </c>
      <c r="F13" s="246" t="s">
        <v>129</v>
      </c>
      <c r="G13" s="247"/>
      <c r="H13" s="248">
        <v>1.0312490463256836</v>
      </c>
      <c r="I13" s="248">
        <v>4.133716344833374</v>
      </c>
      <c r="J13" s="248">
        <v>4.6864218711853027</v>
      </c>
      <c r="K13" s="249">
        <f>IF(COUNT(H13:J13)&lt;L$1,0,1)</f>
        <v>1</v>
      </c>
      <c r="L13" s="250">
        <f>COUNTIF(H13:J13,"&gt;"&amp;0)</f>
        <v>3</v>
      </c>
      <c r="M13" s="251">
        <f>L13*K13</f>
        <v>3</v>
      </c>
      <c r="N13" s="252">
        <f t="shared" si="3"/>
        <v>9.8513872623443604</v>
      </c>
      <c r="O13"/>
      <c r="P13" s="253">
        <v>9</v>
      </c>
      <c r="Q13" s="254" t="s">
        <v>114</v>
      </c>
      <c r="R13" s="254">
        <f t="shared" si="4"/>
        <v>30</v>
      </c>
      <c r="S13" s="255">
        <f t="shared" si="5"/>
        <v>85.357982873916626</v>
      </c>
      <c r="T13" s="256">
        <f t="shared" si="6"/>
        <v>2.8452660957972209</v>
      </c>
      <c r="U13" s="257">
        <f t="shared" si="7"/>
        <v>1.2652595148543773</v>
      </c>
      <c r="V13"/>
      <c r="W13" s="258">
        <f t="shared" si="8"/>
        <v>13</v>
      </c>
      <c r="X13" s="258">
        <f t="shared" si="9"/>
        <v>2</v>
      </c>
      <c r="Y13" s="258" t="str">
        <f t="shared" si="10"/>
        <v>Chu Vanallen</v>
      </c>
      <c r="Z13" s="258">
        <f t="shared" si="11"/>
        <v>4</v>
      </c>
      <c r="AA13" s="258" t="str">
        <f t="shared" si="12"/>
        <v>L</v>
      </c>
      <c r="AB13" s="259"/>
      <c r="AC13" s="260">
        <f t="shared" si="13"/>
        <v>1.2769055479220854</v>
      </c>
      <c r="AD13" s="260">
        <f t="shared" si="14"/>
        <v>5.1184196029665507</v>
      </c>
      <c r="AE13" s="260">
        <f t="shared" si="15"/>
        <v>5.8027865417584508</v>
      </c>
      <c r="AF13" s="260">
        <f t="shared" si="16"/>
        <v>12.198111692647087</v>
      </c>
      <c r="AG13"/>
      <c r="AH13" s="261">
        <v>18</v>
      </c>
      <c r="AI13" s="261" t="s">
        <v>149</v>
      </c>
      <c r="AJ13" s="262">
        <f>IF(SUMIF($W:$W,$AH13,AC:AC)=0,"",SUMIF($W:$W,$AH13,AC:AC)/$AM13)</f>
        <v>3.2073149346769498</v>
      </c>
      <c r="AK13" s="262">
        <f>IF(SUMIF($W:$W,$AH13,AD:AD)=0,"",SUMIF($W:$W,$AH13,AD:AD)/$AM13)</f>
        <v>5.0525849430372576</v>
      </c>
      <c r="AL13" s="262">
        <f>IF(SUMIF($W:$W,$AH13,AE:AE)=0,"",SUMIF($W:$W,$AH13,AE:AE)/$AM13)</f>
        <v>2.8525285987024827</v>
      </c>
      <c r="AM13" s="263">
        <f>SUMIF(E$5:E$104,AH13,M$5:M$104)/L$1</f>
        <v>4</v>
      </c>
      <c r="AN13" s="262">
        <f>IF(LEN(AM13)&gt;0,SUM(AJ13:AL13),"")</f>
        <v>11.112428476416691</v>
      </c>
      <c r="AO13" s="240">
        <v>9</v>
      </c>
    </row>
    <row r="14" spans="1:41" x14ac:dyDescent="0.25">
      <c r="A14" s="246">
        <v>2</v>
      </c>
      <c r="B14" s="246" t="s">
        <v>86</v>
      </c>
      <c r="C14" s="246">
        <v>4</v>
      </c>
      <c r="D14" s="246" t="s">
        <v>253</v>
      </c>
      <c r="E14" s="246">
        <v>15</v>
      </c>
      <c r="F14" s="246" t="s">
        <v>137</v>
      </c>
      <c r="G14" s="247"/>
      <c r="H14" s="248">
        <v>2.1979830265045166</v>
      </c>
      <c r="I14" s="248">
        <v>1.904266357421875</v>
      </c>
      <c r="J14" s="248">
        <v>4.8125159740447998</v>
      </c>
      <c r="K14" s="249">
        <f>IF(COUNT(H14:J14)&lt;L$1,0,1)</f>
        <v>1</v>
      </c>
      <c r="L14" s="250">
        <f>COUNTIF(H14:J14,"&gt;"&amp;0)</f>
        <v>3</v>
      </c>
      <c r="M14" s="251">
        <f>L14*K14</f>
        <v>3</v>
      </c>
      <c r="N14" s="252">
        <f t="shared" si="3"/>
        <v>8.9147653579711914</v>
      </c>
      <c r="O14"/>
      <c r="P14" s="253">
        <v>10</v>
      </c>
      <c r="Q14" s="254" t="s">
        <v>118</v>
      </c>
      <c r="R14" s="254">
        <f t="shared" si="4"/>
        <v>30</v>
      </c>
      <c r="S14" s="255">
        <f t="shared" si="5"/>
        <v>91.155104875564575</v>
      </c>
      <c r="T14" s="256">
        <f t="shared" si="6"/>
        <v>3.0385034958521526</v>
      </c>
      <c r="U14" s="257">
        <f t="shared" si="7"/>
        <v>1.1847937660477745</v>
      </c>
      <c r="V14"/>
      <c r="W14" s="258">
        <f t="shared" si="8"/>
        <v>15</v>
      </c>
      <c r="X14" s="258">
        <f t="shared" si="9"/>
        <v>2</v>
      </c>
      <c r="Y14" s="258" t="str">
        <f t="shared" si="10"/>
        <v>Chu Vanallen</v>
      </c>
      <c r="Z14" s="258">
        <f t="shared" si="11"/>
        <v>4</v>
      </c>
      <c r="AA14" s="258" t="str">
        <f t="shared" si="12"/>
        <v>L</v>
      </c>
      <c r="AB14" s="259"/>
      <c r="AC14" s="260">
        <f t="shared" si="13"/>
        <v>2.7215702460837212</v>
      </c>
      <c r="AD14" s="260">
        <f t="shared" si="14"/>
        <v>2.3578865698610771</v>
      </c>
      <c r="AE14" s="260">
        <f t="shared" si="15"/>
        <v>5.9589178468735691</v>
      </c>
      <c r="AF14" s="260">
        <f t="shared" si="16"/>
        <v>11.038374662818367</v>
      </c>
      <c r="AG14"/>
      <c r="AH14" s="261">
        <v>14</v>
      </c>
      <c r="AI14" s="261" t="s">
        <v>133</v>
      </c>
      <c r="AJ14" s="262">
        <f>IF(SUMIF($W:$W,$AH14,AC:AC)=0,"",SUMIF($W:$W,$AH14,AC:AC)/$AM14)</f>
        <v>3.9277774168818098</v>
      </c>
      <c r="AK14" s="262">
        <f>IF(SUMIF($W:$W,$AH14,AD:AD)=0,"",SUMIF($W:$W,$AH14,AD:AD)/$AM14)</f>
        <v>4.1969625590446054</v>
      </c>
      <c r="AL14" s="262">
        <f>IF(SUMIF($W:$W,$AH14,AE:AE)=0,"",SUMIF($W:$W,$AH14,AE:AE)/$AM14)</f>
        <v>2.861177041466858</v>
      </c>
      <c r="AM14" s="263">
        <f>SUMIF(E$5:E$104,AH14,M$5:M$104)/L$1</f>
        <v>4</v>
      </c>
      <c r="AN14" s="262">
        <f>IF(LEN(AM14)&gt;0,SUM(AJ14:AL14),"")</f>
        <v>10.985917017393273</v>
      </c>
      <c r="AO14" s="240">
        <v>10</v>
      </c>
    </row>
    <row r="15" spans="1:41" x14ac:dyDescent="0.25">
      <c r="A15" s="246">
        <v>2</v>
      </c>
      <c r="B15" s="246" t="s">
        <v>86</v>
      </c>
      <c r="C15" s="246">
        <v>4</v>
      </c>
      <c r="D15" s="246" t="s">
        <v>253</v>
      </c>
      <c r="E15" s="246">
        <v>17</v>
      </c>
      <c r="F15" s="246" t="s">
        <v>145</v>
      </c>
      <c r="G15" s="247"/>
      <c r="H15" s="248">
        <v>1.7564682960510254</v>
      </c>
      <c r="I15" s="248">
        <v>2.6685078144073486</v>
      </c>
      <c r="J15" s="248">
        <v>2.4506998062133789</v>
      </c>
      <c r="K15" s="249">
        <f>IF(COUNT(H15:J15)&lt;L$1,0,1)</f>
        <v>1</v>
      </c>
      <c r="L15" s="250">
        <f>COUNTIF(H15:J15,"&gt;"&amp;0)</f>
        <v>3</v>
      </c>
      <c r="M15" s="251">
        <f>L15*K15</f>
        <v>3</v>
      </c>
      <c r="N15" s="252">
        <f t="shared" si="3"/>
        <v>6.8756759166717529</v>
      </c>
      <c r="O15"/>
      <c r="P15"/>
      <c r="Q15"/>
      <c r="V15"/>
      <c r="W15" s="258">
        <f t="shared" si="8"/>
        <v>17</v>
      </c>
      <c r="X15" s="258">
        <f t="shared" si="9"/>
        <v>2</v>
      </c>
      <c r="Y15" s="258" t="str">
        <f t="shared" si="10"/>
        <v>Chu Vanallen</v>
      </c>
      <c r="Z15" s="258">
        <f t="shared" si="11"/>
        <v>4</v>
      </c>
      <c r="AA15" s="258" t="str">
        <f t="shared" si="12"/>
        <v>L</v>
      </c>
      <c r="AB15" s="259"/>
      <c r="AC15" s="260">
        <f t="shared" si="13"/>
        <v>2.1748811501625216</v>
      </c>
      <c r="AD15" s="260">
        <f t="shared" si="14"/>
        <v>3.3041799602441184</v>
      </c>
      <c r="AE15" s="260">
        <f t="shared" si="15"/>
        <v>3.0344873432805683</v>
      </c>
      <c r="AF15" s="260">
        <f t="shared" si="16"/>
        <v>8.5135484536872088</v>
      </c>
      <c r="AG15"/>
      <c r="AH15" s="261">
        <v>3</v>
      </c>
      <c r="AI15" s="261" t="s">
        <v>89</v>
      </c>
      <c r="AJ15" s="262">
        <f>IF(SUMIF($W:$W,$AH15,AC:AC)=0,"",SUMIF($W:$W,$AH15,AC:AC)/$AM15)</f>
        <v>3.3531400997522001</v>
      </c>
      <c r="AK15" s="262">
        <f>IF(SUMIF($W:$W,$AH15,AD:AD)=0,"",SUMIF($W:$W,$AH15,AD:AD)/$AM15)</f>
        <v>3.7829241690453683</v>
      </c>
      <c r="AL15" s="262">
        <f>IF(SUMIF($W:$W,$AH15,AE:AE)=0,"",SUMIF($W:$W,$AH15,AE:AE)/$AM15)</f>
        <v>3.7397753361265353</v>
      </c>
      <c r="AM15" s="263">
        <f>SUMIF(E$5:E$104,AH15,M$5:M$104)/L$1</f>
        <v>4</v>
      </c>
      <c r="AN15" s="262">
        <f>IF(LEN(AM15)&gt;0,SUM(AJ15:AL15),"")</f>
        <v>10.875839604924103</v>
      </c>
      <c r="AO15" s="240">
        <v>11</v>
      </c>
    </row>
    <row r="16" spans="1:41" x14ac:dyDescent="0.25">
      <c r="A16" s="246">
        <v>2</v>
      </c>
      <c r="B16" s="246" t="s">
        <v>86</v>
      </c>
      <c r="C16" s="246">
        <v>4</v>
      </c>
      <c r="D16" s="246" t="s">
        <v>253</v>
      </c>
      <c r="E16" s="246">
        <v>23</v>
      </c>
      <c r="F16" s="246" t="s">
        <v>169</v>
      </c>
      <c r="G16" s="247"/>
      <c r="H16" s="248">
        <v>2.2991921901702881</v>
      </c>
      <c r="I16" s="248">
        <v>4.9185099601745605</v>
      </c>
      <c r="J16" s="248">
        <v>3.3161718845367432</v>
      </c>
      <c r="K16" s="249">
        <f>IF(COUNT(H16:J16)&lt;L$1,0,1)</f>
        <v>1</v>
      </c>
      <c r="L16" s="250">
        <f>COUNTIF(H16:J16,"&gt;"&amp;0)</f>
        <v>3</v>
      </c>
      <c r="M16" s="251">
        <f>L16*K16</f>
        <v>3</v>
      </c>
      <c r="N16" s="252">
        <f t="shared" si="3"/>
        <v>10.533874034881592</v>
      </c>
      <c r="O16"/>
      <c r="P16"/>
      <c r="Q16"/>
      <c r="V16"/>
      <c r="W16" s="258">
        <f t="shared" si="8"/>
        <v>23</v>
      </c>
      <c r="X16" s="258">
        <f t="shared" si="9"/>
        <v>2</v>
      </c>
      <c r="Y16" s="258" t="str">
        <f t="shared" si="10"/>
        <v>Chu Vanallen</v>
      </c>
      <c r="Z16" s="258">
        <f t="shared" si="11"/>
        <v>4</v>
      </c>
      <c r="AA16" s="258" t="str">
        <f t="shared" si="12"/>
        <v>L</v>
      </c>
      <c r="AB16" s="259"/>
      <c r="AC16" s="260">
        <f t="shared" si="13"/>
        <v>2.846888706300327</v>
      </c>
      <c r="AD16" s="260">
        <f t="shared" si="14"/>
        <v>6.090160934484361</v>
      </c>
      <c r="AE16" s="260">
        <f t="shared" si="15"/>
        <v>4.1061257630398886</v>
      </c>
      <c r="AF16" s="260">
        <f t="shared" si="16"/>
        <v>13.043175403824577</v>
      </c>
      <c r="AG16"/>
      <c r="AH16" s="261">
        <v>20</v>
      </c>
      <c r="AI16" s="261" t="s">
        <v>157</v>
      </c>
      <c r="AJ16" s="262">
        <f>IF(SUMIF($W:$W,$AH16,AC:AC)=0,"",SUMIF($W:$W,$AH16,AC:AC)/$AM16)</f>
        <v>3.9290906032942474</v>
      </c>
      <c r="AK16" s="262">
        <f>IF(SUMIF($W:$W,$AH16,AD:AD)=0,"",SUMIF($W:$W,$AH16,AD:AD)/$AM16)</f>
        <v>3.2219632896093771</v>
      </c>
      <c r="AL16" s="262">
        <f>IF(SUMIF($W:$W,$AH16,AE:AE)=0,"",SUMIF($W:$W,$AH16,AE:AE)/$AM16)</f>
        <v>3.6830131483326154</v>
      </c>
      <c r="AM16" s="263">
        <f>SUMIF(E$5:E$104,AH16,M$5:M$104)/L$1</f>
        <v>4</v>
      </c>
      <c r="AN16" s="262">
        <f>IF(LEN(AM16)&gt;0,SUM(AJ16:AL16),"")</f>
        <v>10.834067041236239</v>
      </c>
      <c r="AO16" s="240">
        <v>12</v>
      </c>
    </row>
    <row r="17" spans="1:41" x14ac:dyDescent="0.25">
      <c r="A17" s="246">
        <v>3</v>
      </c>
      <c r="B17" s="246" t="s">
        <v>90</v>
      </c>
      <c r="C17" s="246">
        <v>1</v>
      </c>
      <c r="D17" s="246" t="s">
        <v>254</v>
      </c>
      <c r="E17" s="246">
        <v>5</v>
      </c>
      <c r="F17" s="246" t="s">
        <v>97</v>
      </c>
      <c r="G17" s="247"/>
      <c r="H17" s="248">
        <v>3.1063404083251953</v>
      </c>
      <c r="I17" s="248">
        <v>1.5363719463348389</v>
      </c>
      <c r="J17" s="248">
        <v>4.5946660041809082</v>
      </c>
      <c r="K17" s="249">
        <f>IF(COUNT(H17:J17)&lt;L$1,0,1)</f>
        <v>1</v>
      </c>
      <c r="L17" s="250">
        <f>COUNTIF(H17:J17,"&gt;"&amp;0)</f>
        <v>3</v>
      </c>
      <c r="M17" s="251">
        <f>L17*K17</f>
        <v>3</v>
      </c>
      <c r="N17" s="252">
        <f t="shared" si="3"/>
        <v>9.2373783588409424</v>
      </c>
      <c r="O17"/>
      <c r="P17"/>
      <c r="Q17"/>
      <c r="V17"/>
      <c r="W17" s="258">
        <f t="shared" si="8"/>
        <v>5</v>
      </c>
      <c r="X17" s="258">
        <f t="shared" si="9"/>
        <v>3</v>
      </c>
      <c r="Y17" s="258" t="str">
        <f t="shared" si="10"/>
        <v>Yetta Cisneros</v>
      </c>
      <c r="Z17" s="258">
        <f t="shared" si="11"/>
        <v>1</v>
      </c>
      <c r="AA17" s="258" t="str">
        <f t="shared" si="12"/>
        <v>M</v>
      </c>
      <c r="AB17" s="259"/>
      <c r="AC17" s="260">
        <f t="shared" si="13"/>
        <v>3.8811147833588411</v>
      </c>
      <c r="AD17" s="260">
        <f t="shared" si="14"/>
        <v>1.9195693613221363</v>
      </c>
      <c r="AE17" s="260">
        <f t="shared" si="15"/>
        <v>5.7406542134373781</v>
      </c>
      <c r="AF17" s="260">
        <f t="shared" si="16"/>
        <v>11.541338358118356</v>
      </c>
      <c r="AG17"/>
      <c r="AH17" s="261">
        <v>21</v>
      </c>
      <c r="AI17" s="261" t="s">
        <v>161</v>
      </c>
      <c r="AJ17" s="262">
        <f>IF(SUMIF($W:$W,$AH17,AC:AC)=0,"",SUMIF($W:$W,$AH17,AC:AC)/$AM17)</f>
        <v>4.0632473576036814</v>
      </c>
      <c r="AK17" s="262">
        <f>IF(SUMIF($W:$W,$AH17,AD:AD)=0,"",SUMIF($W:$W,$AH17,AD:AD)/$AM17)</f>
        <v>3.6156003162814905</v>
      </c>
      <c r="AL17" s="262">
        <f>IF(SUMIF($W:$W,$AH17,AE:AE)=0,"",SUMIF($W:$W,$AH17,AE:AE)/$AM17)</f>
        <v>3.1372239861473297</v>
      </c>
      <c r="AM17" s="263">
        <f>SUMIF(E$5:E$104,AH17,M$5:M$104)/L$1</f>
        <v>4</v>
      </c>
      <c r="AN17" s="262">
        <f>IF(LEN(AM17)&gt;0,SUM(AJ17:AL17),"")</f>
        <v>10.816071660032502</v>
      </c>
      <c r="AO17" s="240">
        <v>13</v>
      </c>
    </row>
    <row r="18" spans="1:41" x14ac:dyDescent="0.25">
      <c r="A18" s="246">
        <v>3</v>
      </c>
      <c r="B18" s="246" t="s">
        <v>90</v>
      </c>
      <c r="C18" s="246">
        <v>1</v>
      </c>
      <c r="D18" s="246" t="s">
        <v>254</v>
      </c>
      <c r="E18" s="246">
        <v>6</v>
      </c>
      <c r="F18" s="246" t="s">
        <v>101</v>
      </c>
      <c r="G18" s="247"/>
      <c r="H18" s="248">
        <v>1.1246178150177002</v>
      </c>
      <c r="I18" s="248">
        <v>4.1702604293823242</v>
      </c>
      <c r="J18" s="248">
        <v>3.8768384456634521</v>
      </c>
      <c r="K18" s="249">
        <f>IF(COUNT(H18:J18)&lt;L$1,0,1)</f>
        <v>1</v>
      </c>
      <c r="L18" s="250">
        <f>COUNTIF(H18:J18,"&gt;"&amp;0)</f>
        <v>3</v>
      </c>
      <c r="M18" s="251">
        <f>L18*K18</f>
        <v>3</v>
      </c>
      <c r="N18" s="252">
        <f t="shared" si="3"/>
        <v>9.1717166900634766</v>
      </c>
      <c r="O18"/>
      <c r="P18"/>
      <c r="Q18"/>
      <c r="V18"/>
      <c r="W18" s="258">
        <f t="shared" si="8"/>
        <v>6</v>
      </c>
      <c r="X18" s="258">
        <f t="shared" si="9"/>
        <v>3</v>
      </c>
      <c r="Y18" s="258" t="str">
        <f t="shared" si="10"/>
        <v>Yetta Cisneros</v>
      </c>
      <c r="Z18" s="258">
        <f t="shared" si="11"/>
        <v>1</v>
      </c>
      <c r="AA18" s="258" t="str">
        <f t="shared" si="12"/>
        <v>M</v>
      </c>
      <c r="AB18" s="259"/>
      <c r="AC18" s="260">
        <f t="shared" si="13"/>
        <v>1.4051167141231669</v>
      </c>
      <c r="AD18" s="260">
        <f t="shared" si="14"/>
        <v>5.2103946365809026</v>
      </c>
      <c r="AE18" s="260">
        <f t="shared" si="15"/>
        <v>4.8437881965005678</v>
      </c>
      <c r="AF18" s="260">
        <f t="shared" si="16"/>
        <v>11.459299547204637</v>
      </c>
      <c r="AG18"/>
      <c r="AH18" s="261">
        <v>8</v>
      </c>
      <c r="AI18" s="261" t="s">
        <v>109</v>
      </c>
      <c r="AJ18" s="262">
        <f>IF(SUMIF($W:$W,$AH18,AC:AC)=0,"",SUMIF($W:$W,$AH18,AC:AC)/$AM18)</f>
        <v>2.9878957092223204</v>
      </c>
      <c r="AK18" s="262">
        <f>IF(SUMIF($W:$W,$AH18,AD:AD)=0,"",SUMIF($W:$W,$AH18,AD:AD)/$AM18)</f>
        <v>3.489223774767729</v>
      </c>
      <c r="AL18" s="262">
        <f>IF(SUMIF($W:$W,$AH18,AE:AE)=0,"",SUMIF($W:$W,$AH18,AE:AE)/$AM18)</f>
        <v>4.2884304039002625</v>
      </c>
      <c r="AM18" s="263">
        <f>SUMIF(E$5:E$104,AH18,M$5:M$104)/L$1</f>
        <v>4</v>
      </c>
      <c r="AN18" s="262">
        <f>IF(LEN(AM18)&gt;0,SUM(AJ18:AL18),"")</f>
        <v>10.765549887890312</v>
      </c>
      <c r="AO18" s="240">
        <v>14</v>
      </c>
    </row>
    <row r="19" spans="1:41" x14ac:dyDescent="0.25">
      <c r="A19" s="246">
        <v>3</v>
      </c>
      <c r="B19" s="246" t="s">
        <v>90</v>
      </c>
      <c r="C19" s="246">
        <v>3</v>
      </c>
      <c r="D19" s="246" t="s">
        <v>254</v>
      </c>
      <c r="E19" s="246">
        <v>8</v>
      </c>
      <c r="F19" s="246" t="s">
        <v>109</v>
      </c>
      <c r="G19" s="247"/>
      <c r="H19" s="248">
        <v>1.9765868186950684</v>
      </c>
      <c r="I19" s="248">
        <v>4.7688944339752197</v>
      </c>
      <c r="J19" s="248">
        <v>2.8673133850097656</v>
      </c>
      <c r="K19" s="249">
        <f>IF(COUNT(H19:J19)&lt;L$1,0,1)</f>
        <v>1</v>
      </c>
      <c r="L19" s="250">
        <f>COUNTIF(H19:J19,"&gt;"&amp;0)</f>
        <v>3</v>
      </c>
      <c r="M19" s="251">
        <f>L19*K19</f>
        <v>3</v>
      </c>
      <c r="N19" s="252">
        <f t="shared" si="3"/>
        <v>9.6127946376800537</v>
      </c>
      <c r="O19"/>
      <c r="P19"/>
      <c r="Q19"/>
      <c r="V19"/>
      <c r="W19" s="258">
        <f t="shared" si="8"/>
        <v>8</v>
      </c>
      <c r="X19" s="258">
        <f t="shared" si="9"/>
        <v>3</v>
      </c>
      <c r="Y19" s="258" t="str">
        <f t="shared" si="10"/>
        <v>Yetta Cisneros</v>
      </c>
      <c r="Z19" s="258">
        <f t="shared" si="11"/>
        <v>3</v>
      </c>
      <c r="AA19" s="258" t="str">
        <f t="shared" si="12"/>
        <v>M</v>
      </c>
      <c r="AB19" s="259"/>
      <c r="AC19" s="260">
        <f t="shared" si="13"/>
        <v>2.4695813446813184</v>
      </c>
      <c r="AD19" s="260">
        <f t="shared" si="14"/>
        <v>5.9583381906163888</v>
      </c>
      <c r="AE19" s="260">
        <f t="shared" si="15"/>
        <v>3.5824703362385257</v>
      </c>
      <c r="AF19" s="260">
        <f t="shared" si="16"/>
        <v>12.010389871536233</v>
      </c>
      <c r="AG19"/>
      <c r="AH19" s="261">
        <v>15</v>
      </c>
      <c r="AI19" s="261" t="s">
        <v>137</v>
      </c>
      <c r="AJ19" s="262">
        <f>IF(SUMIF($W:$W,$AH19,AC:AC)=0,"",SUMIF($W:$W,$AH19,AC:AC)/$AM19)</f>
        <v>3.159033068792652</v>
      </c>
      <c r="AK19" s="262">
        <f>IF(SUMIF($W:$W,$AH19,AD:AD)=0,"",SUMIF($W:$W,$AH19,AD:AD)/$AM19)</f>
        <v>3.6134154954478994</v>
      </c>
      <c r="AL19" s="262">
        <f>IF(SUMIF($W:$W,$AH19,AE:AE)=0,"",SUMIF($W:$W,$AH19,AE:AE)/$AM19)</f>
        <v>3.9928122829655575</v>
      </c>
      <c r="AM19" s="263">
        <f>SUMIF(E$5:E$104,AH19,M$5:M$104)/L$1</f>
        <v>4</v>
      </c>
      <c r="AN19" s="262">
        <f>IF(LEN(AM19)&gt;0,SUM(AJ19:AL19),"")</f>
        <v>10.765260847206109</v>
      </c>
      <c r="AO19" s="240">
        <v>15</v>
      </c>
    </row>
    <row r="20" spans="1:41" x14ac:dyDescent="0.25">
      <c r="A20" s="246">
        <v>3</v>
      </c>
      <c r="B20" s="246" t="s">
        <v>90</v>
      </c>
      <c r="C20" s="246">
        <v>4</v>
      </c>
      <c r="D20" s="246" t="s">
        <v>253</v>
      </c>
      <c r="E20" s="246">
        <v>9</v>
      </c>
      <c r="F20" s="246" t="s">
        <v>113</v>
      </c>
      <c r="G20" s="247"/>
      <c r="H20" s="248">
        <v>3.8960311412811279</v>
      </c>
      <c r="I20" s="248">
        <v>2.587954044342041</v>
      </c>
      <c r="J20" s="248">
        <v>1.9279568195343018</v>
      </c>
      <c r="K20" s="249">
        <f>IF(COUNT(H20:J20)&lt;L$1,0,1)</f>
        <v>1</v>
      </c>
      <c r="L20" s="250">
        <f>COUNTIF(H20:J20,"&gt;"&amp;0)</f>
        <v>3</v>
      </c>
      <c r="M20" s="251">
        <f>L20*K20</f>
        <v>3</v>
      </c>
      <c r="N20" s="252">
        <f t="shared" si="3"/>
        <v>8.4119420051574707</v>
      </c>
      <c r="O20"/>
      <c r="P20"/>
      <c r="Q20"/>
      <c r="V20"/>
      <c r="W20" s="258">
        <f t="shared" si="8"/>
        <v>9</v>
      </c>
      <c r="X20" s="258">
        <f t="shared" si="9"/>
        <v>3</v>
      </c>
      <c r="Y20" s="258" t="str">
        <f t="shared" si="10"/>
        <v>Yetta Cisneros</v>
      </c>
      <c r="Z20" s="258">
        <f t="shared" si="11"/>
        <v>4</v>
      </c>
      <c r="AA20" s="258" t="str">
        <f t="shared" si="12"/>
        <v>L</v>
      </c>
      <c r="AB20" s="259"/>
      <c r="AC20" s="260">
        <f t="shared" si="13"/>
        <v>4.8677678783456848</v>
      </c>
      <c r="AD20" s="260">
        <f t="shared" si="14"/>
        <v>3.2334340026708688</v>
      </c>
      <c r="AE20" s="260">
        <f t="shared" si="15"/>
        <v>2.4088221928022304</v>
      </c>
      <c r="AF20" s="260">
        <f t="shared" si="16"/>
        <v>10.510024073818784</v>
      </c>
      <c r="AG20"/>
      <c r="AH20" s="261">
        <v>7</v>
      </c>
      <c r="AI20" s="261" t="s">
        <v>105</v>
      </c>
      <c r="AJ20" s="262">
        <f>IF(SUMIF($W:$W,$AH20,AC:AC)=0,"",SUMIF($W:$W,$AH20,AC:AC)/$AM20)</f>
        <v>3.7699741071512283</v>
      </c>
      <c r="AK20" s="262">
        <f>IF(SUMIF($W:$W,$AH20,AD:AD)=0,"",SUMIF($W:$W,$AH20,AD:AD)/$AM20)</f>
        <v>4.125144027857039</v>
      </c>
      <c r="AL20" s="262">
        <f>IF(SUMIF($W:$W,$AH20,AE:AE)=0,"",SUMIF($W:$W,$AH20,AE:AE)/$AM20)</f>
        <v>2.6208794616998601</v>
      </c>
      <c r="AM20" s="263">
        <f>SUMIF(E$5:E$104,AH20,M$5:M$104)/L$1</f>
        <v>4</v>
      </c>
      <c r="AN20" s="262">
        <f>IF(LEN(AM20)&gt;0,SUM(AJ20:AL20),"")</f>
        <v>10.515997596708129</v>
      </c>
      <c r="AO20" s="240">
        <v>16</v>
      </c>
    </row>
    <row r="21" spans="1:41" x14ac:dyDescent="0.25">
      <c r="A21" s="246">
        <v>3</v>
      </c>
      <c r="B21" s="246" t="s">
        <v>90</v>
      </c>
      <c r="C21" s="246">
        <v>2</v>
      </c>
      <c r="D21" s="246" t="s">
        <v>254</v>
      </c>
      <c r="E21" s="246">
        <v>12</v>
      </c>
      <c r="F21" s="246" t="s">
        <v>125</v>
      </c>
      <c r="G21" s="247"/>
      <c r="H21" s="248">
        <v>3.4106340408325195</v>
      </c>
      <c r="I21" s="248">
        <v>3.2045457363128662</v>
      </c>
      <c r="J21" s="248">
        <v>2.8469805717468262</v>
      </c>
      <c r="K21" s="249">
        <f>IF(COUNT(H21:J21)&lt;L$1,0,1)</f>
        <v>1</v>
      </c>
      <c r="L21" s="250">
        <f>COUNTIF(H21:J21,"&gt;"&amp;0)</f>
        <v>3</v>
      </c>
      <c r="M21" s="251">
        <f>L21*K21</f>
        <v>3</v>
      </c>
      <c r="N21" s="252">
        <f t="shared" si="3"/>
        <v>9.4621603488922119</v>
      </c>
      <c r="O21"/>
      <c r="P21"/>
      <c r="Q21"/>
      <c r="V21"/>
      <c r="W21" s="258">
        <f t="shared" si="8"/>
        <v>12</v>
      </c>
      <c r="X21" s="258">
        <f t="shared" si="9"/>
        <v>3</v>
      </c>
      <c r="Y21" s="258" t="str">
        <f t="shared" si="10"/>
        <v>Yetta Cisneros</v>
      </c>
      <c r="Z21" s="258">
        <f t="shared" si="11"/>
        <v>2</v>
      </c>
      <c r="AA21" s="258" t="str">
        <f t="shared" si="12"/>
        <v>M</v>
      </c>
      <c r="AB21" s="259"/>
      <c r="AC21" s="260">
        <f t="shared" si="13"/>
        <v>4.2613044471963866</v>
      </c>
      <c r="AD21" s="260">
        <f t="shared" si="14"/>
        <v>4.0038141981544824</v>
      </c>
      <c r="AE21" s="260">
        <f t="shared" si="15"/>
        <v>3.5570661719265355</v>
      </c>
      <c r="AF21" s="260">
        <f t="shared" si="16"/>
        <v>11.822184817277405</v>
      </c>
      <c r="AG21"/>
      <c r="AH21" s="261">
        <v>2</v>
      </c>
      <c r="AI21" s="261" t="s">
        <v>85</v>
      </c>
      <c r="AJ21" s="262">
        <f>IF(SUMIF($W:$W,$AH21,AC:AC)=0,"",SUMIF($W:$W,$AH21,AC:AC)/$AM21)</f>
        <v>2.9074527515009008</v>
      </c>
      <c r="AK21" s="262">
        <f>IF(SUMIF($W:$W,$AH21,AD:AD)=0,"",SUMIF($W:$W,$AH21,AD:AD)/$AM21)</f>
        <v>4.3832259690699136</v>
      </c>
      <c r="AL21" s="262">
        <f>IF(SUMIF($W:$W,$AH21,AE:AE)=0,"",SUMIF($W:$W,$AH21,AE:AE)/$AM21)</f>
        <v>3.0246578389454548</v>
      </c>
      <c r="AM21" s="263">
        <f>SUMIF(E$5:E$104,AH21,M$5:M$104)/L$1</f>
        <v>4</v>
      </c>
      <c r="AN21" s="262">
        <f>IF(LEN(AM21)&gt;0,SUM(AJ21:AL21),"")</f>
        <v>10.315336559516268</v>
      </c>
      <c r="AO21" s="240">
        <v>17</v>
      </c>
    </row>
    <row r="22" spans="1:41" x14ac:dyDescent="0.25">
      <c r="A22" s="246">
        <v>3</v>
      </c>
      <c r="B22" s="246" t="s">
        <v>90</v>
      </c>
      <c r="C22" s="246">
        <v>2</v>
      </c>
      <c r="D22" s="246" t="s">
        <v>254</v>
      </c>
      <c r="E22" s="246">
        <v>15</v>
      </c>
      <c r="F22" s="246" t="s">
        <v>137</v>
      </c>
      <c r="G22" s="247"/>
      <c r="H22" s="248">
        <v>3.5971662998199463</v>
      </c>
      <c r="I22" s="248">
        <v>4.0641384124755859</v>
      </c>
      <c r="J22" s="248">
        <v>1.260634183883667</v>
      </c>
      <c r="K22" s="249">
        <f>IF(COUNT(H22:J22)&lt;L$1,0,1)</f>
        <v>1</v>
      </c>
      <c r="L22" s="250">
        <f>COUNTIF(H22:J22,"&gt;"&amp;0)</f>
        <v>3</v>
      </c>
      <c r="M22" s="251">
        <f>L22*K22</f>
        <v>3</v>
      </c>
      <c r="N22" s="252">
        <f t="shared" si="3"/>
        <v>8.9219388961791992</v>
      </c>
      <c r="O22"/>
      <c r="P22"/>
      <c r="Q22"/>
      <c r="V22"/>
      <c r="W22" s="258">
        <f t="shared" si="8"/>
        <v>15</v>
      </c>
      <c r="X22" s="258">
        <f t="shared" si="9"/>
        <v>3</v>
      </c>
      <c r="Y22" s="258" t="str">
        <f t="shared" si="10"/>
        <v>Yetta Cisneros</v>
      </c>
      <c r="Z22" s="258">
        <f t="shared" si="11"/>
        <v>2</v>
      </c>
      <c r="AA22" s="258" t="str">
        <f t="shared" si="12"/>
        <v>M</v>
      </c>
      <c r="AB22" s="259"/>
      <c r="AC22" s="260">
        <f t="shared" si="13"/>
        <v>4.4943610388014728</v>
      </c>
      <c r="AD22" s="260">
        <f t="shared" si="14"/>
        <v>5.0778039753794593</v>
      </c>
      <c r="AE22" s="260">
        <f t="shared" si="15"/>
        <v>1.5750578894591667</v>
      </c>
      <c r="AF22" s="260">
        <f t="shared" si="16"/>
        <v>11.147222903640099</v>
      </c>
      <c r="AG22"/>
      <c r="AH22" s="261">
        <v>4</v>
      </c>
      <c r="AI22" s="261" t="s">
        <v>93</v>
      </c>
      <c r="AJ22" s="262">
        <f>IF(SUMIF($W:$W,$AH22,AC:AC)=0,"",SUMIF($W:$W,$AH22,AC:AC)/$AM22)</f>
        <v>2.6650476713365943</v>
      </c>
      <c r="AK22" s="262">
        <f>IF(SUMIF($W:$W,$AH22,AD:AD)=0,"",SUMIF($W:$W,$AH22,AD:AD)/$AM22)</f>
        <v>3.3699189760991177</v>
      </c>
      <c r="AL22" s="262">
        <f>IF(SUMIF($W:$W,$AH22,AE:AE)=0,"",SUMIF($W:$W,$AH22,AE:AE)/$AM22)</f>
        <v>4.0727651092398993</v>
      </c>
      <c r="AM22" s="263">
        <f>SUMIF(E$5:E$104,AH22,M$5:M$104)/L$1</f>
        <v>4</v>
      </c>
      <c r="AN22" s="262">
        <f>IF(LEN(AM22)&gt;0,SUM(AJ22:AL22),"")</f>
        <v>10.107731756675612</v>
      </c>
      <c r="AO22" s="240">
        <v>18</v>
      </c>
    </row>
    <row r="23" spans="1:41" x14ac:dyDescent="0.25">
      <c r="A23" s="246">
        <v>3</v>
      </c>
      <c r="B23" s="246" t="s">
        <v>90</v>
      </c>
      <c r="C23" s="246">
        <v>2</v>
      </c>
      <c r="D23" s="246" t="s">
        <v>254</v>
      </c>
      <c r="E23" s="246">
        <v>17</v>
      </c>
      <c r="F23" s="246" t="s">
        <v>145</v>
      </c>
      <c r="G23" s="247"/>
      <c r="H23" s="248">
        <v>1.6289105415344238</v>
      </c>
      <c r="I23" s="248">
        <v>1.4007904529571533</v>
      </c>
      <c r="J23" s="248">
        <v>1.2050237655639648</v>
      </c>
      <c r="K23" s="249">
        <f>IF(COUNT(H23:J23)&lt;L$1,0,1)</f>
        <v>1</v>
      </c>
      <c r="L23" s="250">
        <f>COUNTIF(H23:J23,"&gt;"&amp;0)</f>
        <v>3</v>
      </c>
      <c r="M23" s="251">
        <f>L23*K23</f>
        <v>3</v>
      </c>
      <c r="N23" s="252">
        <f t="shared" si="3"/>
        <v>4.234724760055542</v>
      </c>
      <c r="O23"/>
      <c r="P23"/>
      <c r="Q23"/>
      <c r="V23"/>
      <c r="W23" s="258">
        <f t="shared" si="8"/>
        <v>17</v>
      </c>
      <c r="X23" s="258">
        <f t="shared" si="9"/>
        <v>3</v>
      </c>
      <c r="Y23" s="258" t="str">
        <f t="shared" si="10"/>
        <v>Yetta Cisneros</v>
      </c>
      <c r="Z23" s="258">
        <f t="shared" si="11"/>
        <v>2</v>
      </c>
      <c r="AA23" s="258" t="str">
        <f t="shared" si="12"/>
        <v>M</v>
      </c>
      <c r="AB23" s="259"/>
      <c r="AC23" s="260">
        <f t="shared" si="13"/>
        <v>2.035188663346414</v>
      </c>
      <c r="AD23" s="260">
        <f t="shared" si="14"/>
        <v>1.750171526851795</v>
      </c>
      <c r="AE23" s="260">
        <f t="shared" si="15"/>
        <v>1.5055772826103726</v>
      </c>
      <c r="AF23" s="260">
        <f t="shared" si="16"/>
        <v>5.2909374728085812</v>
      </c>
      <c r="AG23"/>
      <c r="AH23" s="261">
        <v>23</v>
      </c>
      <c r="AI23" s="261" t="s">
        <v>169</v>
      </c>
      <c r="AJ23" s="262">
        <f>IF(SUMIF($W:$W,$AH23,AC:AC)=0,"",SUMIF($W:$W,$AH23,AC:AC)/$AM23)</f>
        <v>2.1279869807658796</v>
      </c>
      <c r="AK23" s="262">
        <f>IF(SUMIF($W:$W,$AH23,AD:AD)=0,"",SUMIF($W:$W,$AH23,AD:AD)/$AM23)</f>
        <v>4.0222265674111988</v>
      </c>
      <c r="AL23" s="262">
        <f>IF(SUMIF($W:$W,$AH23,AE:AE)=0,"",SUMIF($W:$W,$AH23,AE:AE)/$AM23)</f>
        <v>3.7680609006024128</v>
      </c>
      <c r="AM23" s="263">
        <f>SUMIF(E$5:E$104,AH23,M$5:M$104)/L$1</f>
        <v>4</v>
      </c>
      <c r="AN23" s="262">
        <f>IF(LEN(AM23)&gt;0,SUM(AJ23:AL23),"")</f>
        <v>9.9182744487794903</v>
      </c>
      <c r="AO23" s="240">
        <v>19</v>
      </c>
    </row>
    <row r="24" spans="1:41" x14ac:dyDescent="0.25">
      <c r="A24" s="246">
        <v>3</v>
      </c>
      <c r="B24" s="246" t="s">
        <v>90</v>
      </c>
      <c r="C24" s="246">
        <v>1</v>
      </c>
      <c r="D24" s="246" t="s">
        <v>254</v>
      </c>
      <c r="E24" s="246">
        <v>18</v>
      </c>
      <c r="F24" s="246" t="s">
        <v>149</v>
      </c>
      <c r="G24" s="247"/>
      <c r="H24" s="248">
        <v>3.1827046871185303</v>
      </c>
      <c r="I24" s="248">
        <v>4.828519344329834</v>
      </c>
      <c r="J24" s="248">
        <v>1.9045031070709229</v>
      </c>
      <c r="K24" s="249">
        <f>IF(COUNT(H24:J24)&lt;L$1,0,1)</f>
        <v>1</v>
      </c>
      <c r="L24" s="250">
        <f>COUNTIF(H24:J24,"&gt;"&amp;0)</f>
        <v>3</v>
      </c>
      <c r="M24" s="251">
        <f>L24*K24</f>
        <v>3</v>
      </c>
      <c r="N24" s="252">
        <f t="shared" si="3"/>
        <v>9.9157271385192871</v>
      </c>
      <c r="O24"/>
      <c r="P24"/>
      <c r="Q24"/>
      <c r="V24"/>
      <c r="W24" s="258">
        <f t="shared" si="8"/>
        <v>18</v>
      </c>
      <c r="X24" s="258">
        <f t="shared" si="9"/>
        <v>3</v>
      </c>
      <c r="Y24" s="258" t="str">
        <f t="shared" si="10"/>
        <v>Yetta Cisneros</v>
      </c>
      <c r="Z24" s="258">
        <f t="shared" si="11"/>
        <v>1</v>
      </c>
      <c r="AA24" s="258" t="str">
        <f t="shared" si="12"/>
        <v>M</v>
      </c>
      <c r="AB24" s="259"/>
      <c r="AC24" s="260">
        <f t="shared" si="13"/>
        <v>3.9765256180989859</v>
      </c>
      <c r="AD24" s="260">
        <f t="shared" si="14"/>
        <v>6.0328345724081407</v>
      </c>
      <c r="AE24" s="260">
        <f t="shared" si="15"/>
        <v>2.3795187237032511</v>
      </c>
      <c r="AF24" s="260">
        <f t="shared" si="16"/>
        <v>12.388878914210379</v>
      </c>
      <c r="AG24"/>
      <c r="AH24" s="261">
        <v>1</v>
      </c>
      <c r="AI24" s="261" t="s">
        <v>81</v>
      </c>
      <c r="AJ24" s="262">
        <f>IF(SUMIF($W:$W,$AH24,AC:AC)=0,"",SUMIF($W:$W,$AH24,AC:AC)/$AM24)</f>
        <v>3.218861989826526</v>
      </c>
      <c r="AK24" s="262">
        <f>IF(SUMIF($W:$W,$AH24,AD:AD)=0,"",SUMIF($W:$W,$AH24,AD:AD)/$AM24)</f>
        <v>3.613351877065706</v>
      </c>
      <c r="AL24" s="262">
        <f>IF(SUMIF($W:$W,$AH24,AE:AE)=0,"",SUMIF($W:$W,$AH24,AE:AE)/$AM24)</f>
        <v>3.0102268874774856</v>
      </c>
      <c r="AM24" s="263">
        <f>SUMIF(E$5:E$104,AH24,M$5:M$104)/L$1</f>
        <v>4</v>
      </c>
      <c r="AN24" s="262">
        <f>IF(LEN(AM24)&gt;0,SUM(AJ24:AL24),"")</f>
        <v>9.8424407543697185</v>
      </c>
      <c r="AO24" s="240">
        <v>20</v>
      </c>
    </row>
    <row r="25" spans="1:41" x14ac:dyDescent="0.25">
      <c r="A25" s="246">
        <v>3</v>
      </c>
      <c r="B25" s="246" t="s">
        <v>90</v>
      </c>
      <c r="C25" s="246">
        <v>2</v>
      </c>
      <c r="D25" s="246" t="s">
        <v>254</v>
      </c>
      <c r="E25" s="246">
        <v>19</v>
      </c>
      <c r="F25" s="246" t="s">
        <v>153</v>
      </c>
      <c r="G25" s="247"/>
      <c r="H25" s="248">
        <v>2.3862686157226563</v>
      </c>
      <c r="I25" s="248">
        <v>4.5618216991424561</v>
      </c>
      <c r="J25" s="248">
        <v>2.9226136207580566</v>
      </c>
      <c r="K25" s="249">
        <f>IF(COUNT(H25:J25)&lt;L$1,0,1)</f>
        <v>1</v>
      </c>
      <c r="L25" s="250">
        <f>COUNTIF(H25:J25,"&gt;"&amp;0)</f>
        <v>3</v>
      </c>
      <c r="M25" s="251">
        <f>L25*K25</f>
        <v>3</v>
      </c>
      <c r="N25" s="252">
        <f t="shared" si="3"/>
        <v>9.8707039356231689</v>
      </c>
      <c r="O25"/>
      <c r="P25"/>
      <c r="Q25"/>
      <c r="V25"/>
      <c r="W25" s="258">
        <f t="shared" si="8"/>
        <v>19</v>
      </c>
      <c r="X25" s="258">
        <f t="shared" si="9"/>
        <v>3</v>
      </c>
      <c r="Y25" s="258" t="str">
        <f t="shared" si="10"/>
        <v>Yetta Cisneros</v>
      </c>
      <c r="Z25" s="258">
        <f t="shared" si="11"/>
        <v>2</v>
      </c>
      <c r="AA25" s="258" t="str">
        <f t="shared" si="12"/>
        <v>M</v>
      </c>
      <c r="AB25" s="259"/>
      <c r="AC25" s="260">
        <f t="shared" si="13"/>
        <v>2.9814447820095085</v>
      </c>
      <c r="AD25" s="260">
        <f t="shared" si="14"/>
        <v>5.6996179775205906</v>
      </c>
      <c r="AE25" s="260">
        <f t="shared" si="15"/>
        <v>3.6515633956825932</v>
      </c>
      <c r="AF25" s="260">
        <f t="shared" si="16"/>
        <v>12.332626155212694</v>
      </c>
      <c r="AG25"/>
      <c r="AH25" s="261">
        <v>22</v>
      </c>
      <c r="AI25" s="261" t="s">
        <v>165</v>
      </c>
      <c r="AJ25" s="262">
        <f>IF(SUMIF($W:$W,$AH25,AC:AC)=0,"",SUMIF($W:$W,$AH25,AC:AC)/$AM25)</f>
        <v>3.4411698092471035</v>
      </c>
      <c r="AK25" s="262">
        <f>IF(SUMIF($W:$W,$AH25,AD:AD)=0,"",SUMIF($W:$W,$AH25,AD:AD)/$AM25)</f>
        <v>4.0706530328607684</v>
      </c>
      <c r="AL25" s="262">
        <f>IF(SUMIF($W:$W,$AH25,AE:AE)=0,"",SUMIF($W:$W,$AH25,AE:AE)/$AM25)</f>
        <v>1.9155371022362606</v>
      </c>
      <c r="AM25" s="263">
        <f>SUMIF(E$5:E$104,AH25,M$5:M$104)/L$1</f>
        <v>4</v>
      </c>
      <c r="AN25" s="262">
        <f>IF(LEN(AM25)&gt;0,SUM(AJ25:AL25),"")</f>
        <v>9.4273599443441327</v>
      </c>
      <c r="AO25" s="240">
        <v>21</v>
      </c>
    </row>
    <row r="26" spans="1:41" x14ac:dyDescent="0.25">
      <c r="A26" s="246">
        <v>3</v>
      </c>
      <c r="B26" s="246" t="s">
        <v>90</v>
      </c>
      <c r="C26" s="246">
        <v>1</v>
      </c>
      <c r="D26" s="246" t="s">
        <v>254</v>
      </c>
      <c r="E26" s="246">
        <v>21</v>
      </c>
      <c r="F26" s="246" t="s">
        <v>161</v>
      </c>
      <c r="G26" s="247"/>
      <c r="H26" s="248">
        <v>1.9278843402862549</v>
      </c>
      <c r="I26" s="248">
        <v>4.3991327285766602</v>
      </c>
      <c r="J26" s="248">
        <v>1.2742059230804443</v>
      </c>
      <c r="K26" s="249">
        <f>IF(COUNT(H26:J26)&lt;L$1,0,1)</f>
        <v>1</v>
      </c>
      <c r="L26" s="250">
        <f>COUNTIF(H26:J26,"&gt;"&amp;0)</f>
        <v>3</v>
      </c>
      <c r="M26" s="251">
        <f>L26*K26</f>
        <v>3</v>
      </c>
      <c r="N26" s="252">
        <f t="shared" si="3"/>
        <v>7.6012229919433594</v>
      </c>
      <c r="O26"/>
      <c r="P26"/>
      <c r="Q26"/>
      <c r="V26"/>
      <c r="W26" s="258">
        <f t="shared" si="8"/>
        <v>21</v>
      </c>
      <c r="X26" s="258">
        <f t="shared" si="9"/>
        <v>3</v>
      </c>
      <c r="Y26" s="258" t="str">
        <f t="shared" si="10"/>
        <v>Yetta Cisneros</v>
      </c>
      <c r="Z26" s="258">
        <f t="shared" si="11"/>
        <v>1</v>
      </c>
      <c r="AA26" s="258" t="str">
        <f t="shared" si="12"/>
        <v>M</v>
      </c>
      <c r="AB26" s="259"/>
      <c r="AC26" s="260">
        <f t="shared" si="13"/>
        <v>2.4087316359912871</v>
      </c>
      <c r="AD26" s="260">
        <f t="shared" si="14"/>
        <v>5.4963515978733017</v>
      </c>
      <c r="AE26" s="260">
        <f t="shared" si="15"/>
        <v>1.5920146523082526</v>
      </c>
      <c r="AF26" s="260">
        <f t="shared" si="16"/>
        <v>9.4970978861728419</v>
      </c>
      <c r="AG26"/>
      <c r="AH26" s="261">
        <v>6</v>
      </c>
      <c r="AI26" s="261" t="s">
        <v>101</v>
      </c>
      <c r="AJ26" s="262">
        <f>IF(SUMIF($W:$W,$AH26,AC:AC)=0,"",SUMIF($W:$W,$AH26,AC:AC)/$AM26)</f>
        <v>2.615189118249734</v>
      </c>
      <c r="AK26" s="262">
        <f>IF(SUMIF($W:$W,$AH26,AD:AD)=0,"",SUMIF($W:$W,$AH26,AD:AD)/$AM26)</f>
        <v>3.7645447630664384</v>
      </c>
      <c r="AL26" s="262">
        <f>IF(SUMIF($W:$W,$AH26,AE:AE)=0,"",SUMIF($W:$W,$AH26,AE:AE)/$AM26)</f>
        <v>3.0461395248648335</v>
      </c>
      <c r="AM26" s="263">
        <f>SUMIF(E$5:E$104,AH26,M$5:M$104)/L$1</f>
        <v>4</v>
      </c>
      <c r="AN26" s="262">
        <f>IF(LEN(AM26)&gt;0,SUM(AJ26:AL26),"")</f>
        <v>9.4258734061810046</v>
      </c>
      <c r="AO26" s="240">
        <v>22</v>
      </c>
    </row>
    <row r="27" spans="1:41" x14ac:dyDescent="0.25">
      <c r="A27" s="246">
        <v>4</v>
      </c>
      <c r="B27" s="246" t="s">
        <v>94</v>
      </c>
      <c r="C27" s="246">
        <v>3</v>
      </c>
      <c r="D27" s="246" t="s">
        <v>253</v>
      </c>
      <c r="E27" s="246">
        <v>2</v>
      </c>
      <c r="F27" s="246" t="s">
        <v>85</v>
      </c>
      <c r="G27" s="247"/>
      <c r="H27" s="248">
        <v>1.5325312614440918</v>
      </c>
      <c r="I27" s="248">
        <v>4.8569204807281494</v>
      </c>
      <c r="J27" s="248">
        <v>4.3356571197509766</v>
      </c>
      <c r="K27" s="249">
        <f>IF(COUNT(H27:J27)&lt;L$1,0,1)</f>
        <v>1</v>
      </c>
      <c r="L27" s="250">
        <f>COUNTIF(H27:J27,"&gt;"&amp;0)</f>
        <v>3</v>
      </c>
      <c r="M27" s="251">
        <f>L27*K27</f>
        <v>3</v>
      </c>
      <c r="N27" s="252">
        <f t="shared" si="3"/>
        <v>10.725108861923218</v>
      </c>
      <c r="O27"/>
      <c r="P27"/>
      <c r="Q27"/>
      <c r="V27"/>
      <c r="W27" s="258">
        <f t="shared" si="8"/>
        <v>2</v>
      </c>
      <c r="X27" s="258">
        <f t="shared" si="9"/>
        <v>4</v>
      </c>
      <c r="Y27" s="258" t="str">
        <f t="shared" si="10"/>
        <v>Henriette Wilford</v>
      </c>
      <c r="Z27" s="258">
        <f t="shared" si="11"/>
        <v>3</v>
      </c>
      <c r="AA27" s="258" t="str">
        <f t="shared" si="12"/>
        <v>L</v>
      </c>
      <c r="AB27" s="259"/>
      <c r="AC27" s="260">
        <f t="shared" si="13"/>
        <v>1.7519923650950497</v>
      </c>
      <c r="AD27" s="260">
        <f t="shared" si="14"/>
        <v>5.55243981913378</v>
      </c>
      <c r="AE27" s="260">
        <f t="shared" si="15"/>
        <v>4.9565306513330238</v>
      </c>
      <c r="AF27" s="260">
        <f t="shared" si="16"/>
        <v>12.260962835561854</v>
      </c>
      <c r="AG27"/>
      <c r="AH27" s="261">
        <v>17</v>
      </c>
      <c r="AI27" s="261" t="s">
        <v>145</v>
      </c>
      <c r="AJ27" s="262">
        <f>IF(SUMIF($W:$W,$AH27,AC:AC)=0,"",SUMIF($W:$W,$AH27,AC:AC)/$AM27)</f>
        <v>3.241655397989577</v>
      </c>
      <c r="AK27" s="262">
        <f>IF(SUMIF($W:$W,$AH27,AD:AD)=0,"",SUMIF($W:$W,$AH27,AD:AD)/$AM27)</f>
        <v>3.5233253650596685</v>
      </c>
      <c r="AL27" s="262">
        <f>IF(SUMIF($W:$W,$AH27,AE:AE)=0,"",SUMIF($W:$W,$AH27,AE:AE)/$AM27)</f>
        <v>2.6386692451131992</v>
      </c>
      <c r="AM27" s="263">
        <f>SUMIF(E$5:E$104,AH27,M$5:M$104)/L$1</f>
        <v>4</v>
      </c>
      <c r="AN27" s="262">
        <f>IF(LEN(AM27)&gt;0,SUM(AJ27:AL27),"")</f>
        <v>9.4036500081624439</v>
      </c>
      <c r="AO27" s="240">
        <v>23</v>
      </c>
    </row>
    <row r="28" spans="1:41" x14ac:dyDescent="0.25">
      <c r="A28" s="246">
        <v>4</v>
      </c>
      <c r="B28" s="246" t="s">
        <v>94</v>
      </c>
      <c r="C28" s="246">
        <v>3</v>
      </c>
      <c r="D28" s="246" t="s">
        <v>253</v>
      </c>
      <c r="E28" s="246">
        <v>9</v>
      </c>
      <c r="F28" s="246" t="s">
        <v>113</v>
      </c>
      <c r="G28" s="247"/>
      <c r="H28" s="248">
        <v>4.2937343120574951</v>
      </c>
      <c r="I28" s="248">
        <v>4.9866414070129395</v>
      </c>
      <c r="J28" s="248">
        <v>1.9565041065216064</v>
      </c>
      <c r="K28" s="249">
        <f>IF(COUNT(H28:J28)&lt;L$1,0,1)</f>
        <v>1</v>
      </c>
      <c r="L28" s="250">
        <f>COUNTIF(H28:J28,"&gt;"&amp;0)</f>
        <v>3</v>
      </c>
      <c r="M28" s="251">
        <f>L28*K28</f>
        <v>3</v>
      </c>
      <c r="N28" s="252">
        <f t="shared" si="3"/>
        <v>11.236879825592041</v>
      </c>
      <c r="O28"/>
      <c r="P28"/>
      <c r="Q28"/>
      <c r="V28"/>
      <c r="W28" s="258">
        <f t="shared" si="8"/>
        <v>9</v>
      </c>
      <c r="X28" s="258">
        <f t="shared" si="9"/>
        <v>4</v>
      </c>
      <c r="Y28" s="258" t="str">
        <f t="shared" si="10"/>
        <v>Henriette Wilford</v>
      </c>
      <c r="Z28" s="258">
        <f t="shared" si="11"/>
        <v>3</v>
      </c>
      <c r="AA28" s="258" t="str">
        <f t="shared" si="12"/>
        <v>L</v>
      </c>
      <c r="AB28" s="259"/>
      <c r="AC28" s="260">
        <f t="shared" si="13"/>
        <v>4.9086044257152066</v>
      </c>
      <c r="AD28" s="260">
        <f t="shared" si="14"/>
        <v>5.700737004425684</v>
      </c>
      <c r="AE28" s="260">
        <f t="shared" si="15"/>
        <v>2.2366788483472742</v>
      </c>
      <c r="AF28" s="260">
        <f t="shared" si="16"/>
        <v>12.846020278488165</v>
      </c>
      <c r="AG28"/>
      <c r="AH28" s="261">
        <v>24</v>
      </c>
      <c r="AI28" s="261" t="e">
        <v>#N/A</v>
      </c>
      <c r="AJ28" s="262" t="str">
        <f>IF(SUMIF($W:$W,$AH28,AC:AC)=0,"",SUMIF($W:$W,$AH28,AC:AC)/$AM28)</f>
        <v/>
      </c>
      <c r="AK28" s="262" t="str">
        <f>IF(SUMIF($W:$W,$AH28,AD:AD)=0,"",SUMIF($W:$W,$AH28,AD:AD)/$AM28)</f>
        <v/>
      </c>
      <c r="AL28" s="262" t="str">
        <f>IF(SUMIF($W:$W,$AH28,AE:AE)=0,"",SUMIF($W:$W,$AH28,AE:AE)/$AM28)</f>
        <v/>
      </c>
      <c r="AM28" s="263">
        <f>SUMIF(E$5:E$104,AH28,M$5:M$104)/L$1</f>
        <v>0</v>
      </c>
      <c r="AN28" s="262">
        <f>IF(LEN(AM28)&gt;0,SUM(AJ28:AL28),"")</f>
        <v>0</v>
      </c>
      <c r="AO28" s="240">
        <v>24</v>
      </c>
    </row>
    <row r="29" spans="1:41" x14ac:dyDescent="0.25">
      <c r="A29" s="246">
        <v>4</v>
      </c>
      <c r="B29" s="246" t="s">
        <v>94</v>
      </c>
      <c r="C29" s="246">
        <v>4</v>
      </c>
      <c r="D29" s="246" t="s">
        <v>253</v>
      </c>
      <c r="E29" s="246">
        <v>10</v>
      </c>
      <c r="F29" s="246" t="s">
        <v>117</v>
      </c>
      <c r="G29" s="247"/>
      <c r="H29" s="248">
        <v>3.6511640548706055</v>
      </c>
      <c r="I29" s="248">
        <v>3.5044400691986084</v>
      </c>
      <c r="J29" s="248">
        <v>4.8828444480895996</v>
      </c>
      <c r="K29" s="249">
        <f>IF(COUNT(H29:J29)&lt;L$1,0,1)</f>
        <v>1</v>
      </c>
      <c r="L29" s="250">
        <f>COUNTIF(H29:J29,"&gt;"&amp;0)</f>
        <v>3</v>
      </c>
      <c r="M29" s="251">
        <f>L29*K29</f>
        <v>3</v>
      </c>
      <c r="N29" s="252">
        <f t="shared" si="3"/>
        <v>12.038448572158813</v>
      </c>
      <c r="O29"/>
      <c r="P29"/>
      <c r="Q29"/>
      <c r="V29"/>
      <c r="W29" s="258">
        <f t="shared" si="8"/>
        <v>10</v>
      </c>
      <c r="X29" s="258">
        <f t="shared" si="9"/>
        <v>4</v>
      </c>
      <c r="Y29" s="258" t="str">
        <f t="shared" si="10"/>
        <v>Henriette Wilford</v>
      </c>
      <c r="Z29" s="258">
        <f t="shared" si="11"/>
        <v>4</v>
      </c>
      <c r="AA29" s="258" t="str">
        <f t="shared" si="12"/>
        <v>L</v>
      </c>
      <c r="AB29" s="259"/>
      <c r="AC29" s="260">
        <f t="shared" si="13"/>
        <v>4.1740170062274098</v>
      </c>
      <c r="AD29" s="260">
        <f t="shared" si="14"/>
        <v>4.0062818942979934</v>
      </c>
      <c r="AE29" s="260">
        <f t="shared" si="15"/>
        <v>5.5820761430593588</v>
      </c>
      <c r="AF29" s="260">
        <f t="shared" si="16"/>
        <v>13.762375043584763</v>
      </c>
      <c r="AG29"/>
      <c r="AH29" s="261">
        <v>25</v>
      </c>
      <c r="AI29" s="261" t="e">
        <v>#N/A</v>
      </c>
      <c r="AJ29" s="262" t="str">
        <f>IF(SUMIF($W:$W,$AH29,AC:AC)=0,"",SUMIF($W:$W,$AH29,AC:AC)/$AM29)</f>
        <v/>
      </c>
      <c r="AK29" s="262" t="str">
        <f>IF(SUMIF($W:$W,$AH29,AD:AD)=0,"",SUMIF($W:$W,$AH29,AD:AD)/$AM29)</f>
        <v/>
      </c>
      <c r="AL29" s="262" t="str">
        <f>IF(SUMIF($W:$W,$AH29,AE:AE)=0,"",SUMIF($W:$W,$AH29,AE:AE)/$AM29)</f>
        <v/>
      </c>
      <c r="AM29" s="263">
        <f>SUMIF(E$5:E$104,AH29,M$5:M$104)/L$1</f>
        <v>0</v>
      </c>
      <c r="AN29" s="262">
        <f>IF(LEN(AM29)&gt;0,SUM(AJ29:AL29),"")</f>
        <v>0</v>
      </c>
      <c r="AO29" s="240">
        <v>25</v>
      </c>
    </row>
    <row r="30" spans="1:41" x14ac:dyDescent="0.25">
      <c r="A30" s="246">
        <v>4</v>
      </c>
      <c r="B30" s="246" t="s">
        <v>94</v>
      </c>
      <c r="C30" s="246">
        <v>4</v>
      </c>
      <c r="D30" s="246" t="s">
        <v>253</v>
      </c>
      <c r="E30" s="246">
        <v>11</v>
      </c>
      <c r="F30" s="246" t="s">
        <v>121</v>
      </c>
      <c r="G30" s="247"/>
      <c r="H30" s="248">
        <v>2.682934045791626</v>
      </c>
      <c r="I30" s="248">
        <v>1.2267570495605469</v>
      </c>
      <c r="J30" s="248">
        <v>4.5130126476287842</v>
      </c>
      <c r="K30" s="249">
        <f>IF(COUNT(H30:J30)&lt;L$1,0,1)</f>
        <v>1</v>
      </c>
      <c r="L30" s="250">
        <f>COUNTIF(H30:J30,"&gt;"&amp;0)</f>
        <v>3</v>
      </c>
      <c r="M30" s="251">
        <f>L30*K30</f>
        <v>3</v>
      </c>
      <c r="N30" s="252">
        <f t="shared" si="3"/>
        <v>8.422703742980957</v>
      </c>
      <c r="O30"/>
      <c r="P30"/>
      <c r="Q30"/>
      <c r="V30"/>
      <c r="W30" s="258">
        <f t="shared" si="8"/>
        <v>11</v>
      </c>
      <c r="X30" s="258">
        <f t="shared" si="9"/>
        <v>4</v>
      </c>
      <c r="Y30" s="258" t="str">
        <f t="shared" si="10"/>
        <v>Henriette Wilford</v>
      </c>
      <c r="Z30" s="258">
        <f t="shared" si="11"/>
        <v>4</v>
      </c>
      <c r="AA30" s="258" t="str">
        <f t="shared" si="12"/>
        <v>L</v>
      </c>
      <c r="AB30" s="259"/>
      <c r="AC30" s="260">
        <f t="shared" si="13"/>
        <v>3.0671348001418757</v>
      </c>
      <c r="AD30" s="260">
        <f t="shared" si="14"/>
        <v>1.4024307619221867</v>
      </c>
      <c r="AE30" s="260">
        <f t="shared" si="15"/>
        <v>5.1592837948196539</v>
      </c>
      <c r="AF30" s="260">
        <f t="shared" si="16"/>
        <v>9.6288493568837161</v>
      </c>
      <c r="AG30"/>
      <c r="AJ30"/>
    </row>
    <row r="31" spans="1:41" x14ac:dyDescent="0.25">
      <c r="A31" s="246">
        <v>4</v>
      </c>
      <c r="B31" s="246" t="s">
        <v>94</v>
      </c>
      <c r="C31" s="246">
        <v>3</v>
      </c>
      <c r="D31" s="246" t="s">
        <v>253</v>
      </c>
      <c r="E31" s="246">
        <v>15</v>
      </c>
      <c r="F31" s="246" t="s">
        <v>137</v>
      </c>
      <c r="G31" s="247"/>
      <c r="H31" s="248">
        <v>1.6510720252990723</v>
      </c>
      <c r="I31" s="248">
        <v>1.996415376663208</v>
      </c>
      <c r="J31" s="248">
        <v>3.4318208694458008</v>
      </c>
      <c r="K31" s="249">
        <f>IF(COUNT(H31:J31)&lt;L$1,0,1)</f>
        <v>1</v>
      </c>
      <c r="L31" s="250">
        <f>COUNTIF(H31:J31,"&gt;"&amp;0)</f>
        <v>3</v>
      </c>
      <c r="M31" s="251">
        <f>L31*K31</f>
        <v>3</v>
      </c>
      <c r="N31" s="252">
        <f t="shared" si="3"/>
        <v>7.0793082714080811</v>
      </c>
      <c r="O31"/>
      <c r="P31"/>
      <c r="Q31"/>
      <c r="V31"/>
      <c r="W31" s="258">
        <f t="shared" si="8"/>
        <v>15</v>
      </c>
      <c r="X31" s="258">
        <f t="shared" si="9"/>
        <v>4</v>
      </c>
      <c r="Y31" s="258" t="str">
        <f t="shared" si="10"/>
        <v>Henriette Wilford</v>
      </c>
      <c r="Z31" s="258">
        <f t="shared" si="11"/>
        <v>3</v>
      </c>
      <c r="AA31" s="258" t="str">
        <f t="shared" si="12"/>
        <v>L</v>
      </c>
      <c r="AB31" s="259"/>
      <c r="AC31" s="260">
        <f t="shared" si="13"/>
        <v>1.887508369532547</v>
      </c>
      <c r="AD31" s="260">
        <f t="shared" si="14"/>
        <v>2.2823054807876737</v>
      </c>
      <c r="AE31" s="260">
        <f t="shared" si="15"/>
        <v>3.9232635006592593</v>
      </c>
      <c r="AF31" s="260">
        <f t="shared" si="16"/>
        <v>8.0930773509794811</v>
      </c>
      <c r="AG31"/>
      <c r="AJ31"/>
    </row>
    <row r="32" spans="1:41" x14ac:dyDescent="0.25">
      <c r="A32" s="246">
        <v>4</v>
      </c>
      <c r="B32" s="246" t="s">
        <v>94</v>
      </c>
      <c r="C32" s="246">
        <v>4</v>
      </c>
      <c r="D32" s="246" t="s">
        <v>253</v>
      </c>
      <c r="E32" s="246">
        <v>16</v>
      </c>
      <c r="F32" s="246" t="s">
        <v>141</v>
      </c>
      <c r="G32" s="247"/>
      <c r="H32" s="248">
        <v>2.4612977504730225</v>
      </c>
      <c r="I32" s="248">
        <v>3.1157870292663574</v>
      </c>
      <c r="J32" s="248">
        <v>4.6735594272613525</v>
      </c>
      <c r="K32" s="249">
        <f>IF(COUNT(H32:J32)&lt;L$1,0,1)</f>
        <v>1</v>
      </c>
      <c r="L32" s="250">
        <f>COUNTIF(H32:J32,"&gt;"&amp;0)</f>
        <v>3</v>
      </c>
      <c r="M32" s="251">
        <f>L32*K32</f>
        <v>3</v>
      </c>
      <c r="N32" s="252">
        <f t="shared" si="3"/>
        <v>10.250644207000732</v>
      </c>
      <c r="O32"/>
      <c r="P32"/>
      <c r="Q32"/>
      <c r="V32"/>
      <c r="W32" s="258">
        <f t="shared" si="8"/>
        <v>16</v>
      </c>
      <c r="X32" s="258">
        <f t="shared" si="9"/>
        <v>4</v>
      </c>
      <c r="Y32" s="258" t="str">
        <f t="shared" si="10"/>
        <v>Henriette Wilford</v>
      </c>
      <c r="Z32" s="258">
        <f t="shared" si="11"/>
        <v>4</v>
      </c>
      <c r="AA32" s="258" t="str">
        <f t="shared" si="12"/>
        <v>L</v>
      </c>
      <c r="AB32" s="259"/>
      <c r="AC32" s="260">
        <f t="shared" si="13"/>
        <v>2.8137598074123646</v>
      </c>
      <c r="AD32" s="260">
        <f t="shared" si="14"/>
        <v>3.5619730728318246</v>
      </c>
      <c r="AE32" s="260">
        <f t="shared" si="15"/>
        <v>5.3428211484993522</v>
      </c>
      <c r="AF32" s="260">
        <f t="shared" si="16"/>
        <v>11.718554028743542</v>
      </c>
      <c r="AG32"/>
      <c r="AJ32"/>
    </row>
    <row r="33" spans="1:36" x14ac:dyDescent="0.25">
      <c r="A33" s="246">
        <v>4</v>
      </c>
      <c r="B33" s="246" t="s">
        <v>94</v>
      </c>
      <c r="C33" s="246">
        <v>3</v>
      </c>
      <c r="D33" s="246" t="s">
        <v>254</v>
      </c>
      <c r="E33" s="246">
        <v>19</v>
      </c>
      <c r="F33" s="246" t="s">
        <v>153</v>
      </c>
      <c r="G33" s="247"/>
      <c r="H33" s="248">
        <v>3.1865215301513672</v>
      </c>
      <c r="I33" s="248">
        <v>4.8387973308563232</v>
      </c>
      <c r="J33" s="248">
        <v>4.0584836006164551</v>
      </c>
      <c r="K33" s="249">
        <f>IF(COUNT(H33:J33)&lt;L$1,0,1)</f>
        <v>1</v>
      </c>
      <c r="L33" s="250">
        <f>COUNTIF(H33:J33,"&gt;"&amp;0)</f>
        <v>3</v>
      </c>
      <c r="M33" s="251">
        <f>L33*K33</f>
        <v>3</v>
      </c>
      <c r="N33" s="252">
        <f t="shared" si="3"/>
        <v>12.083802461624146</v>
      </c>
      <c r="O33"/>
      <c r="P33"/>
      <c r="Q33"/>
      <c r="V33"/>
      <c r="W33" s="258">
        <f t="shared" si="8"/>
        <v>19</v>
      </c>
      <c r="X33" s="258">
        <f t="shared" si="9"/>
        <v>4</v>
      </c>
      <c r="Y33" s="258" t="str">
        <f t="shared" si="10"/>
        <v>Henriette Wilford</v>
      </c>
      <c r="Z33" s="258">
        <f t="shared" si="11"/>
        <v>3</v>
      </c>
      <c r="AA33" s="258" t="str">
        <f t="shared" si="12"/>
        <v>M</v>
      </c>
      <c r="AB33" s="259"/>
      <c r="AC33" s="260">
        <f t="shared" si="13"/>
        <v>3.6428368754942069</v>
      </c>
      <c r="AD33" s="260">
        <f t="shared" si="14"/>
        <v>5.5317214031342301</v>
      </c>
      <c r="AE33" s="260">
        <f t="shared" si="15"/>
        <v>4.6396654091371641</v>
      </c>
      <c r="AF33" s="260">
        <f t="shared" si="16"/>
        <v>13.814223687765601</v>
      </c>
      <c r="AG33"/>
      <c r="AJ33"/>
    </row>
    <row r="34" spans="1:36" x14ac:dyDescent="0.25">
      <c r="A34" s="246">
        <v>4</v>
      </c>
      <c r="B34" s="246" t="s">
        <v>94</v>
      </c>
      <c r="C34" s="246">
        <v>1</v>
      </c>
      <c r="D34" s="246" t="s">
        <v>254</v>
      </c>
      <c r="E34" s="246">
        <v>20</v>
      </c>
      <c r="F34" s="246" t="s">
        <v>157</v>
      </c>
      <c r="G34" s="247"/>
      <c r="H34" s="248">
        <v>2.6198837757110596</v>
      </c>
      <c r="I34" s="248">
        <v>4.0243062973022461</v>
      </c>
      <c r="J34" s="248">
        <v>3.2951695919036865</v>
      </c>
      <c r="K34" s="249">
        <f>IF(COUNT(H34:J34)&lt;L$1,0,1)</f>
        <v>1</v>
      </c>
      <c r="L34" s="250">
        <f>COUNTIF(H34:J34,"&gt;"&amp;0)</f>
        <v>3</v>
      </c>
      <c r="M34" s="251">
        <f>L34*K34</f>
        <v>3</v>
      </c>
      <c r="N34" s="252">
        <f t="shared" si="3"/>
        <v>9.9393596649169922</v>
      </c>
      <c r="O34"/>
      <c r="P34"/>
      <c r="Q34"/>
      <c r="V34"/>
      <c r="W34" s="258">
        <f t="shared" si="8"/>
        <v>20</v>
      </c>
      <c r="X34" s="258">
        <f t="shared" si="9"/>
        <v>4</v>
      </c>
      <c r="Y34" s="258" t="str">
        <f t="shared" si="10"/>
        <v>Henriette Wilford</v>
      </c>
      <c r="Z34" s="258">
        <f t="shared" si="11"/>
        <v>1</v>
      </c>
      <c r="AA34" s="258" t="str">
        <f t="shared" si="12"/>
        <v>M</v>
      </c>
      <c r="AB34" s="259"/>
      <c r="AC34" s="260">
        <f t="shared" si="13"/>
        <v>2.9950556233071768</v>
      </c>
      <c r="AD34" s="260">
        <f t="shared" si="14"/>
        <v>4.6005938574028074</v>
      </c>
      <c r="AE34" s="260">
        <f t="shared" si="15"/>
        <v>3.7670435259302133</v>
      </c>
      <c r="AF34" s="260">
        <f t="shared" si="16"/>
        <v>11.362693006640196</v>
      </c>
      <c r="AG34"/>
      <c r="AJ34"/>
    </row>
    <row r="35" spans="1:36" x14ac:dyDescent="0.25">
      <c r="A35" s="246">
        <v>4</v>
      </c>
      <c r="B35" s="246" t="s">
        <v>94</v>
      </c>
      <c r="C35" s="246">
        <v>4</v>
      </c>
      <c r="D35" s="246" t="s">
        <v>253</v>
      </c>
      <c r="E35" s="246">
        <v>21</v>
      </c>
      <c r="F35" s="246" t="s">
        <v>161</v>
      </c>
      <c r="G35" s="247"/>
      <c r="H35" s="248">
        <v>2.7801871299743652</v>
      </c>
      <c r="I35" s="248">
        <v>1.1823122501373291</v>
      </c>
      <c r="J35" s="248">
        <v>1.1544036865234375</v>
      </c>
      <c r="K35" s="249">
        <f>IF(COUNT(H35:J35)&lt;L$1,0,1)</f>
        <v>1</v>
      </c>
      <c r="L35" s="250">
        <f>COUNTIF(H35:J35,"&gt;"&amp;0)</f>
        <v>3</v>
      </c>
      <c r="M35" s="251">
        <f>L35*K35</f>
        <v>3</v>
      </c>
      <c r="N35" s="252">
        <f t="shared" si="3"/>
        <v>5.1169030666351318</v>
      </c>
      <c r="O35"/>
      <c r="P35"/>
      <c r="Q35"/>
      <c r="V35"/>
      <c r="W35" s="258">
        <f t="shared" si="8"/>
        <v>21</v>
      </c>
      <c r="X35" s="258">
        <f t="shared" si="9"/>
        <v>4</v>
      </c>
      <c r="Y35" s="258" t="str">
        <f t="shared" si="10"/>
        <v>Henriette Wilford</v>
      </c>
      <c r="Z35" s="258">
        <f t="shared" si="11"/>
        <v>4</v>
      </c>
      <c r="AA35" s="258" t="str">
        <f t="shared" si="12"/>
        <v>L</v>
      </c>
      <c r="AB35" s="259"/>
      <c r="AC35" s="260">
        <f t="shared" si="13"/>
        <v>3.1783146926874615</v>
      </c>
      <c r="AD35" s="260">
        <f t="shared" si="14"/>
        <v>1.3516213910358239</v>
      </c>
      <c r="AE35" s="260">
        <f t="shared" si="15"/>
        <v>1.3197162732725269</v>
      </c>
      <c r="AF35" s="260">
        <f t="shared" si="16"/>
        <v>5.8496523569958123</v>
      </c>
      <c r="AG35"/>
      <c r="AJ35"/>
    </row>
    <row r="36" spans="1:36" x14ac:dyDescent="0.25">
      <c r="A36" s="246">
        <v>4</v>
      </c>
      <c r="B36" s="246" t="s">
        <v>94</v>
      </c>
      <c r="C36" s="246">
        <v>1</v>
      </c>
      <c r="D36" s="246" t="s">
        <v>254</v>
      </c>
      <c r="E36" s="246">
        <v>23</v>
      </c>
      <c r="F36" s="246" t="s">
        <v>169</v>
      </c>
      <c r="G36" s="247"/>
      <c r="H36" s="248">
        <v>2.4527289867401123</v>
      </c>
      <c r="I36" s="248">
        <v>2.6639542579650879</v>
      </c>
      <c r="J36" s="248">
        <v>2.4616749286651611</v>
      </c>
      <c r="K36" s="249">
        <f>IF(COUNT(H36:J36)&lt;L$1,0,1)</f>
        <v>1</v>
      </c>
      <c r="L36" s="250">
        <f>COUNTIF(H36:J36,"&gt;"&amp;0)</f>
        <v>3</v>
      </c>
      <c r="M36" s="251">
        <f>L36*K36</f>
        <v>3</v>
      </c>
      <c r="N36" s="252">
        <f t="shared" si="3"/>
        <v>7.5783581733703613</v>
      </c>
      <c r="O36"/>
      <c r="P36"/>
      <c r="Q36"/>
      <c r="V36"/>
      <c r="W36" s="258">
        <f t="shared" si="8"/>
        <v>23</v>
      </c>
      <c r="X36" s="258">
        <f t="shared" si="9"/>
        <v>4</v>
      </c>
      <c r="Y36" s="258" t="str">
        <f t="shared" si="10"/>
        <v>Henriette Wilford</v>
      </c>
      <c r="Z36" s="258">
        <f t="shared" si="11"/>
        <v>1</v>
      </c>
      <c r="AA36" s="258" t="str">
        <f t="shared" si="12"/>
        <v>M</v>
      </c>
      <c r="AB36" s="259"/>
      <c r="AC36" s="260">
        <f t="shared" si="13"/>
        <v>2.8039639820246229</v>
      </c>
      <c r="AD36" s="260">
        <f t="shared" si="14"/>
        <v>3.0454370741640804</v>
      </c>
      <c r="AE36" s="260">
        <f t="shared" si="15"/>
        <v>2.8141909981681636</v>
      </c>
      <c r="AF36" s="260">
        <f t="shared" si="16"/>
        <v>8.663592054356867</v>
      </c>
      <c r="AG36"/>
      <c r="AJ36"/>
    </row>
    <row r="37" spans="1:36" x14ac:dyDescent="0.25">
      <c r="A37" s="246">
        <v>5</v>
      </c>
      <c r="B37" s="246" t="s">
        <v>98</v>
      </c>
      <c r="C37" s="246">
        <v>3</v>
      </c>
      <c r="D37" s="246" t="s">
        <v>253</v>
      </c>
      <c r="E37" s="246">
        <v>1</v>
      </c>
      <c r="F37" s="246" t="s">
        <v>81</v>
      </c>
      <c r="G37" s="247"/>
      <c r="H37" s="248">
        <v>3.5243234634399414</v>
      </c>
      <c r="I37" s="248">
        <v>1.7189462184906006</v>
      </c>
      <c r="J37" s="248">
        <v>2.737372875213623</v>
      </c>
      <c r="K37" s="249">
        <f>IF(COUNT(H37:J37)&lt;L$1,0,1)</f>
        <v>1</v>
      </c>
      <c r="L37" s="250">
        <f>COUNTIF(H37:J37,"&gt;"&amp;0)</f>
        <v>3</v>
      </c>
      <c r="M37" s="251">
        <f>L37*K37</f>
        <v>3</v>
      </c>
      <c r="N37" s="252">
        <f t="shared" si="3"/>
        <v>7.980642557144165</v>
      </c>
      <c r="O37"/>
      <c r="P37"/>
      <c r="Q37"/>
      <c r="V37"/>
      <c r="W37" s="258">
        <f t="shared" si="8"/>
        <v>1</v>
      </c>
      <c r="X37" s="258">
        <f t="shared" si="9"/>
        <v>5</v>
      </c>
      <c r="Y37" s="258" t="str">
        <f t="shared" si="10"/>
        <v>Era Vandervoort</v>
      </c>
      <c r="Z37" s="258">
        <f t="shared" si="11"/>
        <v>3</v>
      </c>
      <c r="AA37" s="258" t="str">
        <f t="shared" si="12"/>
        <v>L</v>
      </c>
      <c r="AB37" s="259"/>
      <c r="AC37" s="260">
        <f t="shared" si="13"/>
        <v>3.6421348487440093</v>
      </c>
      <c r="AD37" s="260">
        <f t="shared" si="14"/>
        <v>1.7764072992808138</v>
      </c>
      <c r="AE37" s="260">
        <f t="shared" si="15"/>
        <v>2.8288780091402135</v>
      </c>
      <c r="AF37" s="260">
        <f t="shared" si="16"/>
        <v>8.2474201571650365</v>
      </c>
      <c r="AG37"/>
      <c r="AJ37"/>
    </row>
    <row r="38" spans="1:36" x14ac:dyDescent="0.25">
      <c r="A38" s="246">
        <v>5</v>
      </c>
      <c r="B38" s="246" t="s">
        <v>98</v>
      </c>
      <c r="C38" s="246">
        <v>4</v>
      </c>
      <c r="D38" s="246" t="s">
        <v>253</v>
      </c>
      <c r="E38" s="246">
        <v>2</v>
      </c>
      <c r="F38" s="246" t="s">
        <v>85</v>
      </c>
      <c r="G38" s="247"/>
      <c r="H38" s="248">
        <v>1.6252081394195557</v>
      </c>
      <c r="I38" s="248">
        <v>4.8823566436767578</v>
      </c>
      <c r="J38" s="248">
        <v>2.0989482402801514</v>
      </c>
      <c r="K38" s="249">
        <f>IF(COUNT(H38:J38)&lt;L$1,0,1)</f>
        <v>1</v>
      </c>
      <c r="L38" s="250">
        <f>COUNTIF(H38:J38,"&gt;"&amp;0)</f>
        <v>3</v>
      </c>
      <c r="M38" s="251">
        <f>L38*K38</f>
        <v>3</v>
      </c>
      <c r="N38" s="252">
        <f t="shared" si="3"/>
        <v>8.6065130233764648</v>
      </c>
      <c r="O38"/>
      <c r="P38"/>
      <c r="Q38"/>
      <c r="V38"/>
      <c r="W38" s="258">
        <f t="shared" si="8"/>
        <v>2</v>
      </c>
      <c r="X38" s="258">
        <f t="shared" si="9"/>
        <v>5</v>
      </c>
      <c r="Y38" s="258" t="str">
        <f t="shared" si="10"/>
        <v>Era Vandervoort</v>
      </c>
      <c r="Z38" s="258">
        <f t="shared" si="11"/>
        <v>4</v>
      </c>
      <c r="AA38" s="258" t="str">
        <f t="shared" si="12"/>
        <v>L</v>
      </c>
      <c r="AB38" s="259"/>
      <c r="AC38" s="260">
        <f t="shared" si="13"/>
        <v>1.6795357357082292</v>
      </c>
      <c r="AD38" s="260">
        <f t="shared" si="14"/>
        <v>5.0455644779482052</v>
      </c>
      <c r="AE38" s="260">
        <f t="shared" si="15"/>
        <v>2.1691120610628163</v>
      </c>
      <c r="AF38" s="260">
        <f t="shared" si="16"/>
        <v>8.8942122747192514</v>
      </c>
      <c r="AG38"/>
      <c r="AJ38"/>
    </row>
    <row r="39" spans="1:36" x14ac:dyDescent="0.25">
      <c r="A39" s="246">
        <v>5</v>
      </c>
      <c r="B39" s="246" t="s">
        <v>98</v>
      </c>
      <c r="C39" s="246">
        <v>4</v>
      </c>
      <c r="D39" s="246" t="s">
        <v>253</v>
      </c>
      <c r="E39" s="246">
        <v>3</v>
      </c>
      <c r="F39" s="246" t="s">
        <v>89</v>
      </c>
      <c r="G39" s="247"/>
      <c r="H39" s="248">
        <v>1.2350621223449707</v>
      </c>
      <c r="I39" s="248">
        <v>4.2190544605255127</v>
      </c>
      <c r="J39" s="248">
        <v>3.8400754928588867</v>
      </c>
      <c r="K39" s="249">
        <f>IF(COUNT(H39:J39)&lt;L$1,0,1)</f>
        <v>1</v>
      </c>
      <c r="L39" s="250">
        <f>COUNTIF(H39:J39,"&gt;"&amp;0)</f>
        <v>3</v>
      </c>
      <c r="M39" s="251">
        <f>L39*K39</f>
        <v>3</v>
      </c>
      <c r="N39" s="252">
        <f t="shared" si="3"/>
        <v>9.2941920757293701</v>
      </c>
      <c r="O39"/>
      <c r="P39"/>
      <c r="Q39"/>
      <c r="V39"/>
      <c r="W39" s="258">
        <f t="shared" si="8"/>
        <v>3</v>
      </c>
      <c r="X39" s="258">
        <f t="shared" si="9"/>
        <v>5</v>
      </c>
      <c r="Y39" s="258" t="str">
        <f t="shared" si="10"/>
        <v>Era Vandervoort</v>
      </c>
      <c r="Z39" s="258">
        <f t="shared" si="11"/>
        <v>4</v>
      </c>
      <c r="AA39" s="258" t="str">
        <f t="shared" si="12"/>
        <v>L</v>
      </c>
      <c r="AB39" s="259"/>
      <c r="AC39" s="260">
        <f t="shared" si="13"/>
        <v>1.2763478843016847</v>
      </c>
      <c r="AD39" s="260">
        <f t="shared" si="14"/>
        <v>4.3600893728495551</v>
      </c>
      <c r="AE39" s="260">
        <f t="shared" si="15"/>
        <v>3.9684418639309489</v>
      </c>
      <c r="AF39" s="260">
        <f t="shared" si="16"/>
        <v>9.6048791210821882</v>
      </c>
      <c r="AG39"/>
      <c r="AJ39"/>
    </row>
    <row r="40" spans="1:36" x14ac:dyDescent="0.25">
      <c r="A40" s="246">
        <v>5</v>
      </c>
      <c r="B40" s="246" t="s">
        <v>98</v>
      </c>
      <c r="C40" s="246">
        <v>3</v>
      </c>
      <c r="D40" s="246" t="s">
        <v>253</v>
      </c>
      <c r="E40" s="246">
        <v>4</v>
      </c>
      <c r="F40" s="246" t="s">
        <v>93</v>
      </c>
      <c r="G40" s="247"/>
      <c r="H40" s="248">
        <v>2.0080182552337646</v>
      </c>
      <c r="I40" s="248">
        <v>4.1611723899841309</v>
      </c>
      <c r="J40" s="248">
        <v>4.4807627201080322</v>
      </c>
      <c r="K40" s="249">
        <f>IF(COUNT(H40:J40)&lt;L$1,0,1)</f>
        <v>1</v>
      </c>
      <c r="L40" s="250">
        <f>COUNTIF(H40:J40,"&gt;"&amp;0)</f>
        <v>3</v>
      </c>
      <c r="M40" s="251">
        <f>L40*K40</f>
        <v>3</v>
      </c>
      <c r="N40" s="252">
        <f t="shared" si="3"/>
        <v>10.649953365325928</v>
      </c>
      <c r="O40"/>
      <c r="P40"/>
      <c r="Q40"/>
      <c r="V40"/>
      <c r="W40" s="258">
        <f t="shared" si="8"/>
        <v>4</v>
      </c>
      <c r="X40" s="258">
        <f t="shared" si="9"/>
        <v>5</v>
      </c>
      <c r="Y40" s="258" t="str">
        <f t="shared" si="10"/>
        <v>Era Vandervoort</v>
      </c>
      <c r="Z40" s="258">
        <f t="shared" si="11"/>
        <v>3</v>
      </c>
      <c r="AA40" s="258" t="str">
        <f t="shared" si="12"/>
        <v>L</v>
      </c>
      <c r="AB40" s="259"/>
      <c r="AC40" s="260">
        <f t="shared" si="13"/>
        <v>2.0751424607214313</v>
      </c>
      <c r="AD40" s="260">
        <f t="shared" si="14"/>
        <v>4.3002724155177052</v>
      </c>
      <c r="AE40" s="260">
        <f t="shared" si="15"/>
        <v>4.6305460384529109</v>
      </c>
      <c r="AF40" s="260">
        <f t="shared" si="16"/>
        <v>11.005960914692047</v>
      </c>
      <c r="AG40"/>
      <c r="AJ40"/>
    </row>
    <row r="41" spans="1:36" x14ac:dyDescent="0.25">
      <c r="A41" s="246">
        <v>5</v>
      </c>
      <c r="B41" s="246" t="s">
        <v>98</v>
      </c>
      <c r="C41" s="246">
        <v>4</v>
      </c>
      <c r="D41" s="246" t="s">
        <v>253</v>
      </c>
      <c r="E41" s="246">
        <v>6</v>
      </c>
      <c r="F41" s="246" t="s">
        <v>101</v>
      </c>
      <c r="G41" s="247"/>
      <c r="H41" s="248">
        <v>4.9348335266113281</v>
      </c>
      <c r="I41" s="248">
        <v>2.0840957164764404</v>
      </c>
      <c r="J41" s="248">
        <v>2.8518853187561035</v>
      </c>
      <c r="K41" s="249">
        <f>IF(COUNT(H41:J41)&lt;L$1,0,1)</f>
        <v>1</v>
      </c>
      <c r="L41" s="250">
        <f>COUNTIF(H41:J41,"&gt;"&amp;0)</f>
        <v>3</v>
      </c>
      <c r="M41" s="251">
        <f>L41*K41</f>
        <v>3</v>
      </c>
      <c r="N41" s="252">
        <f t="shared" si="3"/>
        <v>9.8708145618438721</v>
      </c>
      <c r="O41"/>
      <c r="P41"/>
      <c r="Q41"/>
      <c r="V41"/>
      <c r="W41" s="258">
        <f t="shared" si="8"/>
        <v>6</v>
      </c>
      <c r="X41" s="258">
        <f t="shared" si="9"/>
        <v>5</v>
      </c>
      <c r="Y41" s="258" t="str">
        <f t="shared" si="10"/>
        <v>Era Vandervoort</v>
      </c>
      <c r="Z41" s="258">
        <f t="shared" si="11"/>
        <v>4</v>
      </c>
      <c r="AA41" s="258" t="str">
        <f t="shared" si="12"/>
        <v>L</v>
      </c>
      <c r="AB41" s="259"/>
      <c r="AC41" s="260">
        <f t="shared" si="13"/>
        <v>5.0997955626009475</v>
      </c>
      <c r="AD41" s="260">
        <f t="shared" si="14"/>
        <v>2.1537630458267127</v>
      </c>
      <c r="AE41" s="260">
        <f t="shared" si="15"/>
        <v>2.9472183844115043</v>
      </c>
      <c r="AF41" s="260">
        <f t="shared" si="16"/>
        <v>10.200776992839165</v>
      </c>
      <c r="AG41"/>
      <c r="AJ41"/>
    </row>
    <row r="42" spans="1:36" x14ac:dyDescent="0.25">
      <c r="A42" s="246">
        <v>5</v>
      </c>
      <c r="B42" s="246" t="s">
        <v>98</v>
      </c>
      <c r="C42" s="246">
        <v>2</v>
      </c>
      <c r="D42" s="246" t="s">
        <v>253</v>
      </c>
      <c r="E42" s="246">
        <v>7</v>
      </c>
      <c r="F42" s="246" t="s">
        <v>105</v>
      </c>
      <c r="G42" s="247"/>
      <c r="H42" s="248">
        <v>4.6517879962921143</v>
      </c>
      <c r="I42" s="248">
        <v>4.692265510559082</v>
      </c>
      <c r="J42" s="248">
        <v>3.0002763271331787</v>
      </c>
      <c r="K42" s="249">
        <f>IF(COUNT(H42:J42)&lt;L$1,0,1)</f>
        <v>1</v>
      </c>
      <c r="L42" s="250">
        <f>COUNTIF(H42:J42,"&gt;"&amp;0)</f>
        <v>3</v>
      </c>
      <c r="M42" s="251">
        <f>L42*K42</f>
        <v>3</v>
      </c>
      <c r="N42" s="252">
        <f t="shared" si="3"/>
        <v>12.344329833984375</v>
      </c>
      <c r="O42"/>
      <c r="P42"/>
      <c r="Q42"/>
      <c r="V42"/>
      <c r="W42" s="258">
        <f t="shared" si="8"/>
        <v>7</v>
      </c>
      <c r="X42" s="258">
        <f t="shared" si="9"/>
        <v>5</v>
      </c>
      <c r="Y42" s="258" t="str">
        <f t="shared" si="10"/>
        <v>Era Vandervoort</v>
      </c>
      <c r="Z42" s="258">
        <f t="shared" si="11"/>
        <v>2</v>
      </c>
      <c r="AA42" s="258" t="str">
        <f t="shared" si="12"/>
        <v>L</v>
      </c>
      <c r="AB42" s="259"/>
      <c r="AC42" s="260">
        <f t="shared" si="13"/>
        <v>4.807288362154984</v>
      </c>
      <c r="AD42" s="260">
        <f t="shared" si="14"/>
        <v>4.8491189622209507</v>
      </c>
      <c r="AE42" s="260">
        <f t="shared" si="15"/>
        <v>3.1005698200719785</v>
      </c>
      <c r="AF42" s="260">
        <f t="shared" si="16"/>
        <v>12.756977144447912</v>
      </c>
      <c r="AG42"/>
      <c r="AJ42"/>
    </row>
    <row r="43" spans="1:36" x14ac:dyDescent="0.25">
      <c r="A43" s="246">
        <v>5</v>
      </c>
      <c r="B43" s="246" t="s">
        <v>98</v>
      </c>
      <c r="C43" s="246">
        <v>1</v>
      </c>
      <c r="D43" s="246" t="s">
        <v>253</v>
      </c>
      <c r="E43" s="246">
        <v>9</v>
      </c>
      <c r="F43" s="246" t="s">
        <v>113</v>
      </c>
      <c r="G43" s="247"/>
      <c r="H43" s="248">
        <v>4.5379137992858887</v>
      </c>
      <c r="I43" s="248">
        <v>3.2899916172027588</v>
      </c>
      <c r="J43" s="248">
        <v>2.6887874603271484</v>
      </c>
      <c r="K43" s="249">
        <f>IF(COUNT(H43:J43)&lt;L$1,0,1)</f>
        <v>1</v>
      </c>
      <c r="L43" s="250">
        <f>COUNTIF(H43:J43,"&gt;"&amp;0)</f>
        <v>3</v>
      </c>
      <c r="M43" s="251">
        <f>L43*K43</f>
        <v>3</v>
      </c>
      <c r="N43" s="252">
        <f t="shared" si="3"/>
        <v>10.516692876815796</v>
      </c>
      <c r="O43"/>
      <c r="P43"/>
      <c r="Q43"/>
      <c r="V43"/>
      <c r="W43" s="258">
        <f t="shared" si="8"/>
        <v>9</v>
      </c>
      <c r="X43" s="258">
        <f t="shared" si="9"/>
        <v>5</v>
      </c>
      <c r="Y43" s="258" t="str">
        <f t="shared" si="10"/>
        <v>Era Vandervoort</v>
      </c>
      <c r="Z43" s="258">
        <f t="shared" si="11"/>
        <v>1</v>
      </c>
      <c r="AA43" s="258" t="str">
        <f t="shared" si="12"/>
        <v>L</v>
      </c>
      <c r="AB43" s="259"/>
      <c r="AC43" s="260">
        <f t="shared" si="13"/>
        <v>4.6896075687795946</v>
      </c>
      <c r="AD43" s="260">
        <f t="shared" si="14"/>
        <v>3.3999697375660665</v>
      </c>
      <c r="AE43" s="260">
        <f t="shared" si="15"/>
        <v>2.7786684768613581</v>
      </c>
      <c r="AF43" s="260">
        <f t="shared" si="16"/>
        <v>10.868245783207019</v>
      </c>
      <c r="AG43"/>
      <c r="AJ43"/>
    </row>
    <row r="44" spans="1:36" x14ac:dyDescent="0.25">
      <c r="A44" s="246">
        <v>5</v>
      </c>
      <c r="B44" s="246" t="s">
        <v>98</v>
      </c>
      <c r="C44" s="246">
        <v>3</v>
      </c>
      <c r="D44" s="246" t="s">
        <v>253</v>
      </c>
      <c r="E44" s="246">
        <v>17</v>
      </c>
      <c r="F44" s="246" t="s">
        <v>145</v>
      </c>
      <c r="G44" s="247"/>
      <c r="H44" s="248">
        <v>4.2773120403289795</v>
      </c>
      <c r="I44" s="248">
        <v>3.9070019721984863</v>
      </c>
      <c r="J44" s="248">
        <v>4.5821411609649658</v>
      </c>
      <c r="K44" s="249">
        <f>IF(COUNT(H44:J44)&lt;L$1,0,1)</f>
        <v>1</v>
      </c>
      <c r="L44" s="250">
        <f>COUNTIF(H44:J44,"&gt;"&amp;0)</f>
        <v>3</v>
      </c>
      <c r="M44" s="251">
        <f>L44*K44</f>
        <v>3</v>
      </c>
      <c r="N44" s="252">
        <f t="shared" si="3"/>
        <v>12.766455173492432</v>
      </c>
      <c r="O44"/>
      <c r="P44"/>
      <c r="Q44"/>
      <c r="V44"/>
      <c r="W44" s="258">
        <f t="shared" si="8"/>
        <v>17</v>
      </c>
      <c r="X44" s="258">
        <f t="shared" si="9"/>
        <v>5</v>
      </c>
      <c r="Y44" s="258" t="str">
        <f t="shared" si="10"/>
        <v>Era Vandervoort</v>
      </c>
      <c r="Z44" s="258">
        <f t="shared" si="11"/>
        <v>3</v>
      </c>
      <c r="AA44" s="258" t="str">
        <f t="shared" si="12"/>
        <v>L</v>
      </c>
      <c r="AB44" s="259"/>
      <c r="AC44" s="260">
        <f t="shared" si="13"/>
        <v>4.4202943919991284</v>
      </c>
      <c r="AD44" s="260">
        <f t="shared" si="14"/>
        <v>4.0376055673296669</v>
      </c>
      <c r="AE44" s="260">
        <f t="shared" si="15"/>
        <v>4.7353133664767633</v>
      </c>
      <c r="AF44" s="260">
        <f t="shared" si="16"/>
        <v>13.193213325805559</v>
      </c>
      <c r="AG44"/>
      <c r="AJ44"/>
    </row>
    <row r="45" spans="1:36" x14ac:dyDescent="0.25">
      <c r="A45" s="246">
        <v>5</v>
      </c>
      <c r="B45" s="246" t="s">
        <v>98</v>
      </c>
      <c r="C45" s="246">
        <v>1</v>
      </c>
      <c r="D45" s="246" t="s">
        <v>254</v>
      </c>
      <c r="E45" s="246">
        <v>19</v>
      </c>
      <c r="F45" s="246" t="s">
        <v>153</v>
      </c>
      <c r="G45" s="247"/>
      <c r="H45" s="248">
        <v>1.6140966415405273</v>
      </c>
      <c r="I45" s="248">
        <v>4.0961110591888428</v>
      </c>
      <c r="J45" s="248">
        <v>3.6664252281188965</v>
      </c>
      <c r="K45" s="249">
        <f>IF(COUNT(H45:J45)&lt;L$1,0,1)</f>
        <v>1</v>
      </c>
      <c r="L45" s="250">
        <f>COUNTIF(H45:J45,"&gt;"&amp;0)</f>
        <v>3</v>
      </c>
      <c r="M45" s="251">
        <f>L45*K45</f>
        <v>3</v>
      </c>
      <c r="N45" s="252">
        <f t="shared" si="3"/>
        <v>9.3766329288482666</v>
      </c>
      <c r="P45"/>
      <c r="Q45"/>
      <c r="W45" s="258">
        <f t="shared" si="8"/>
        <v>19</v>
      </c>
      <c r="X45" s="258">
        <f t="shared" si="9"/>
        <v>5</v>
      </c>
      <c r="Y45" s="258" t="str">
        <f t="shared" si="10"/>
        <v>Era Vandervoort</v>
      </c>
      <c r="Z45" s="258">
        <f t="shared" si="11"/>
        <v>1</v>
      </c>
      <c r="AA45" s="258" t="str">
        <f t="shared" si="12"/>
        <v>M</v>
      </c>
      <c r="AB45" s="259"/>
      <c r="AC45" s="260">
        <f t="shared" si="13"/>
        <v>1.6680528017304683</v>
      </c>
      <c r="AD45" s="260">
        <f t="shared" si="14"/>
        <v>4.2330362090079054</v>
      </c>
      <c r="AE45" s="260">
        <f t="shared" si="15"/>
        <v>3.7889868033316514</v>
      </c>
      <c r="AF45" s="260">
        <f t="shared" si="16"/>
        <v>9.6900758140700241</v>
      </c>
      <c r="AG45"/>
      <c r="AJ45"/>
    </row>
    <row r="46" spans="1:36" x14ac:dyDescent="0.25">
      <c r="A46" s="246">
        <v>5</v>
      </c>
      <c r="B46" s="246" t="s">
        <v>98</v>
      </c>
      <c r="C46" s="246">
        <v>3</v>
      </c>
      <c r="D46" s="246" t="s">
        <v>253</v>
      </c>
      <c r="E46" s="246">
        <v>21</v>
      </c>
      <c r="F46" s="246" t="s">
        <v>161</v>
      </c>
      <c r="G46" s="247"/>
      <c r="H46" s="248">
        <v>4.6564104557037354</v>
      </c>
      <c r="I46" s="248">
        <v>4.3336715698242188</v>
      </c>
      <c r="J46" s="248">
        <v>4.1102378368377686</v>
      </c>
      <c r="K46" s="249">
        <f>IF(COUNT(H46:J46)&lt;L$1,0,1)</f>
        <v>1</v>
      </c>
      <c r="L46" s="250">
        <f>COUNTIF(H46:J46,"&gt;"&amp;0)</f>
        <v>3</v>
      </c>
      <c r="M46" s="251">
        <f>L46*K46</f>
        <v>3</v>
      </c>
      <c r="N46" s="252">
        <f t="shared" si="3"/>
        <v>13.100319862365723</v>
      </c>
      <c r="P46"/>
      <c r="Q46"/>
      <c r="W46" s="258">
        <f t="shared" si="8"/>
        <v>21</v>
      </c>
      <c r="X46" s="258">
        <f t="shared" si="9"/>
        <v>5</v>
      </c>
      <c r="Y46" s="258" t="str">
        <f t="shared" si="10"/>
        <v>Era Vandervoort</v>
      </c>
      <c r="Z46" s="258">
        <f t="shared" si="11"/>
        <v>3</v>
      </c>
      <c r="AA46" s="258" t="str">
        <f t="shared" si="12"/>
        <v>L</v>
      </c>
      <c r="AB46" s="259"/>
      <c r="AC46" s="260">
        <f t="shared" si="13"/>
        <v>4.8120653415340389</v>
      </c>
      <c r="AD46" s="260">
        <f t="shared" si="14"/>
        <v>4.4785379126528975</v>
      </c>
      <c r="AE46" s="260">
        <f t="shared" si="15"/>
        <v>4.2476352177848664</v>
      </c>
      <c r="AF46" s="260">
        <f t="shared" si="16"/>
        <v>13.538238471971804</v>
      </c>
      <c r="AG46"/>
      <c r="AJ46"/>
    </row>
    <row r="47" spans="1:36" x14ac:dyDescent="0.25">
      <c r="A47" s="246">
        <v>6</v>
      </c>
      <c r="B47" s="246" t="s">
        <v>102</v>
      </c>
      <c r="C47" s="246">
        <v>2</v>
      </c>
      <c r="D47" s="246" t="s">
        <v>254</v>
      </c>
      <c r="E47" s="246">
        <v>1</v>
      </c>
      <c r="F47" s="246" t="s">
        <v>81</v>
      </c>
      <c r="G47" s="247"/>
      <c r="H47" s="248">
        <v>4.1054902076721191</v>
      </c>
      <c r="I47" s="248">
        <v>2.8948795795440674</v>
      </c>
      <c r="J47" s="248">
        <v>3.9512720108032227</v>
      </c>
      <c r="K47" s="249">
        <f>IF(COUNT(H47:J47)&lt;L$1,0,1)</f>
        <v>1</v>
      </c>
      <c r="L47" s="250">
        <f>COUNTIF(H47:J47,"&gt;"&amp;0)</f>
        <v>3</v>
      </c>
      <c r="M47" s="251">
        <f>L47*K47</f>
        <v>3</v>
      </c>
      <c r="N47" s="252">
        <f t="shared" si="3"/>
        <v>10.951641798019409</v>
      </c>
      <c r="P47"/>
      <c r="Q47"/>
      <c r="W47" s="258">
        <f t="shared" si="8"/>
        <v>1</v>
      </c>
      <c r="X47" s="258">
        <f t="shared" si="9"/>
        <v>6</v>
      </c>
      <c r="Y47" s="258" t="str">
        <f t="shared" si="10"/>
        <v>Elmer Seawood</v>
      </c>
      <c r="Z47" s="258">
        <f t="shared" si="11"/>
        <v>2</v>
      </c>
      <c r="AA47" s="258" t="str">
        <f t="shared" si="12"/>
        <v>M</v>
      </c>
      <c r="AB47" s="259"/>
      <c r="AC47" s="260">
        <f t="shared" si="13"/>
        <v>4.3724977503167697</v>
      </c>
      <c r="AD47" s="260">
        <f t="shared" si="14"/>
        <v>3.0831529996929654</v>
      </c>
      <c r="AE47" s="260">
        <f t="shared" si="15"/>
        <v>4.2082497105560046</v>
      </c>
      <c r="AF47" s="260">
        <f t="shared" si="16"/>
        <v>11.663900460565738</v>
      </c>
      <c r="AG47"/>
      <c r="AJ47"/>
    </row>
    <row r="48" spans="1:36" x14ac:dyDescent="0.25">
      <c r="A48" s="246">
        <v>6</v>
      </c>
      <c r="B48" s="246" t="s">
        <v>102</v>
      </c>
      <c r="C48" s="246">
        <v>1</v>
      </c>
      <c r="D48" s="246" t="s">
        <v>254</v>
      </c>
      <c r="E48" s="246">
        <v>2</v>
      </c>
      <c r="F48" s="246" t="s">
        <v>85</v>
      </c>
      <c r="G48" s="247"/>
      <c r="H48" s="248">
        <v>3.2584130764007568</v>
      </c>
      <c r="I48" s="248">
        <v>1.6580348014831543</v>
      </c>
      <c r="J48" s="248">
        <v>2.2460348606109619</v>
      </c>
      <c r="K48" s="249">
        <f>IF(COUNT(H48:J48)&lt;L$1,0,1)</f>
        <v>1</v>
      </c>
      <c r="L48" s="250">
        <f>COUNTIF(H48:J48,"&gt;"&amp;0)</f>
        <v>3</v>
      </c>
      <c r="M48" s="251">
        <f>L48*K48</f>
        <v>3</v>
      </c>
      <c r="N48" s="252">
        <f t="shared" si="3"/>
        <v>7.162482738494873</v>
      </c>
      <c r="P48"/>
      <c r="Q48"/>
      <c r="W48" s="258">
        <f t="shared" si="8"/>
        <v>2</v>
      </c>
      <c r="X48" s="258">
        <f t="shared" si="9"/>
        <v>6</v>
      </c>
      <c r="Y48" s="258" t="str">
        <f t="shared" si="10"/>
        <v>Elmer Seawood</v>
      </c>
      <c r="Z48" s="258">
        <f t="shared" si="11"/>
        <v>1</v>
      </c>
      <c r="AA48" s="258" t="str">
        <f t="shared" si="12"/>
        <v>M</v>
      </c>
      <c r="AB48" s="259"/>
      <c r="AC48" s="260">
        <f t="shared" si="13"/>
        <v>3.4703295162025403</v>
      </c>
      <c r="AD48" s="260">
        <f t="shared" si="14"/>
        <v>1.7658679165484439</v>
      </c>
      <c r="AE48" s="260">
        <f t="shared" si="15"/>
        <v>2.3921095602181488</v>
      </c>
      <c r="AF48" s="260">
        <f t="shared" si="16"/>
        <v>7.6283069929691329</v>
      </c>
      <c r="AG48"/>
      <c r="AJ48"/>
    </row>
    <row r="49" spans="1:36" x14ac:dyDescent="0.25">
      <c r="A49" s="246">
        <v>6</v>
      </c>
      <c r="B49" s="246" t="s">
        <v>102</v>
      </c>
      <c r="C49" s="246">
        <v>2</v>
      </c>
      <c r="D49" s="246" t="s">
        <v>254</v>
      </c>
      <c r="E49" s="246">
        <v>4</v>
      </c>
      <c r="F49" s="246" t="s">
        <v>93</v>
      </c>
      <c r="G49" s="247"/>
      <c r="H49" s="248">
        <v>2.8714389801025391</v>
      </c>
      <c r="I49" s="248">
        <v>4.5770137310028076</v>
      </c>
      <c r="J49" s="248">
        <v>4.464928150177002</v>
      </c>
      <c r="K49" s="249">
        <f>IF(COUNT(H49:J49)&lt;L$1,0,1)</f>
        <v>1</v>
      </c>
      <c r="L49" s="250">
        <f>COUNTIF(H49:J49,"&gt;"&amp;0)</f>
        <v>3</v>
      </c>
      <c r="M49" s="251">
        <f>L49*K49</f>
        <v>3</v>
      </c>
      <c r="N49" s="252">
        <f t="shared" si="3"/>
        <v>11.913380861282349</v>
      </c>
      <c r="P49"/>
      <c r="Q49"/>
      <c r="W49" s="258">
        <f t="shared" si="8"/>
        <v>4</v>
      </c>
      <c r="X49" s="258">
        <f t="shared" si="9"/>
        <v>6</v>
      </c>
      <c r="Y49" s="258" t="str">
        <f t="shared" si="10"/>
        <v>Elmer Seawood</v>
      </c>
      <c r="Z49" s="258">
        <f t="shared" si="11"/>
        <v>2</v>
      </c>
      <c r="AA49" s="258" t="str">
        <f t="shared" si="12"/>
        <v>M</v>
      </c>
      <c r="AB49" s="259"/>
      <c r="AC49" s="260">
        <f t="shared" si="13"/>
        <v>3.0581879009740294</v>
      </c>
      <c r="AD49" s="260">
        <f t="shared" si="14"/>
        <v>4.8746876084564894</v>
      </c>
      <c r="AE49" s="260">
        <f t="shared" si="15"/>
        <v>4.7553123511271886</v>
      </c>
      <c r="AF49" s="260">
        <f t="shared" si="16"/>
        <v>12.688187860557708</v>
      </c>
      <c r="AG49"/>
      <c r="AJ49"/>
    </row>
    <row r="50" spans="1:36" x14ac:dyDescent="0.25">
      <c r="A50" s="246">
        <v>6</v>
      </c>
      <c r="B50" s="246" t="s">
        <v>102</v>
      </c>
      <c r="C50" s="246">
        <v>1</v>
      </c>
      <c r="D50" s="246" t="s">
        <v>254</v>
      </c>
      <c r="E50" s="246">
        <v>8</v>
      </c>
      <c r="F50" s="246" t="s">
        <v>109</v>
      </c>
      <c r="G50" s="247"/>
      <c r="H50" s="248">
        <v>2.5372688770294189</v>
      </c>
      <c r="I50" s="248">
        <v>4.861994743347168</v>
      </c>
      <c r="J50" s="248">
        <v>3.0125730037689209</v>
      </c>
      <c r="K50" s="249">
        <f>IF(COUNT(H50:J50)&lt;L$1,0,1)</f>
        <v>1</v>
      </c>
      <c r="L50" s="250">
        <f>COUNTIF(H50:J50,"&gt;"&amp;0)</f>
        <v>3</v>
      </c>
      <c r="M50" s="251">
        <f>L50*K50</f>
        <v>3</v>
      </c>
      <c r="N50" s="252">
        <f t="shared" si="3"/>
        <v>10.411836624145508</v>
      </c>
      <c r="P50"/>
      <c r="Q50"/>
      <c r="W50" s="258">
        <f t="shared" si="8"/>
        <v>8</v>
      </c>
      <c r="X50" s="258">
        <f t="shared" si="9"/>
        <v>6</v>
      </c>
      <c r="Y50" s="258" t="str">
        <f t="shared" si="10"/>
        <v>Elmer Seawood</v>
      </c>
      <c r="Z50" s="258">
        <f t="shared" si="11"/>
        <v>1</v>
      </c>
      <c r="AA50" s="258" t="str">
        <f t="shared" si="12"/>
        <v>M</v>
      </c>
      <c r="AB50" s="259"/>
      <c r="AC50" s="260">
        <f t="shared" si="13"/>
        <v>2.7022844765352603</v>
      </c>
      <c r="AD50" s="260">
        <f t="shared" si="14"/>
        <v>5.1782028459377791</v>
      </c>
      <c r="AE50" s="260">
        <f t="shared" si="15"/>
        <v>3.2085008160605617</v>
      </c>
      <c r="AF50" s="260">
        <f t="shared" si="16"/>
        <v>11.088988138533601</v>
      </c>
      <c r="AG50"/>
      <c r="AJ50"/>
    </row>
    <row r="51" spans="1:36" x14ac:dyDescent="0.25">
      <c r="A51" s="246">
        <v>6</v>
      </c>
      <c r="B51" s="246" t="s">
        <v>102</v>
      </c>
      <c r="C51" s="246">
        <v>3</v>
      </c>
      <c r="D51" s="246" t="s">
        <v>254</v>
      </c>
      <c r="E51" s="246">
        <v>13</v>
      </c>
      <c r="F51" s="246" t="s">
        <v>129</v>
      </c>
      <c r="G51" s="247"/>
      <c r="H51" s="248">
        <v>4.9365706443786621</v>
      </c>
      <c r="I51" s="248">
        <v>2.7873804569244385</v>
      </c>
      <c r="J51" s="248">
        <v>4.1165428161621094</v>
      </c>
      <c r="K51" s="249">
        <f>IF(COUNT(H51:J51)&lt;L$1,0,1)</f>
        <v>1</v>
      </c>
      <c r="L51" s="250">
        <f>COUNTIF(H51:J51,"&gt;"&amp;0)</f>
        <v>3</v>
      </c>
      <c r="M51" s="251">
        <f>L51*K51</f>
        <v>3</v>
      </c>
      <c r="N51" s="252">
        <f t="shared" si="3"/>
        <v>11.84049391746521</v>
      </c>
      <c r="P51"/>
      <c r="Q51"/>
      <c r="W51" s="258">
        <f t="shared" si="8"/>
        <v>13</v>
      </c>
      <c r="X51" s="258">
        <f t="shared" si="9"/>
        <v>6</v>
      </c>
      <c r="Y51" s="258" t="str">
        <f t="shared" si="10"/>
        <v>Elmer Seawood</v>
      </c>
      <c r="Z51" s="258">
        <f t="shared" si="11"/>
        <v>3</v>
      </c>
      <c r="AA51" s="258" t="str">
        <f t="shared" si="12"/>
        <v>M</v>
      </c>
      <c r="AB51" s="259"/>
      <c r="AC51" s="260">
        <f t="shared" si="13"/>
        <v>5.2576289176109468</v>
      </c>
      <c r="AD51" s="260">
        <f t="shared" si="14"/>
        <v>2.9686624886848114</v>
      </c>
      <c r="AE51" s="260">
        <f t="shared" si="15"/>
        <v>4.3842691840099501</v>
      </c>
      <c r="AF51" s="260">
        <f t="shared" si="16"/>
        <v>12.610560590305708</v>
      </c>
      <c r="AG51"/>
      <c r="AJ51"/>
    </row>
    <row r="52" spans="1:36" x14ac:dyDescent="0.25">
      <c r="A52" s="246">
        <v>6</v>
      </c>
      <c r="B52" s="246" t="s">
        <v>102</v>
      </c>
      <c r="C52" s="246">
        <v>2</v>
      </c>
      <c r="D52" s="246" t="s">
        <v>254</v>
      </c>
      <c r="E52" s="246">
        <v>14</v>
      </c>
      <c r="F52" s="246" t="s">
        <v>133</v>
      </c>
      <c r="G52" s="247"/>
      <c r="H52" s="248">
        <v>2.2342803478240967</v>
      </c>
      <c r="I52" s="248">
        <v>1.3153939247131348</v>
      </c>
      <c r="J52" s="248">
        <v>4.5190746784210205</v>
      </c>
      <c r="K52" s="249">
        <f>IF(COUNT(H52:J52)&lt;L$1,0,1)</f>
        <v>1</v>
      </c>
      <c r="L52" s="250">
        <f>COUNTIF(H52:J52,"&gt;"&amp;0)</f>
        <v>3</v>
      </c>
      <c r="M52" s="251">
        <f>L52*K52</f>
        <v>3</v>
      </c>
      <c r="N52" s="252">
        <f t="shared" si="3"/>
        <v>8.068748950958252</v>
      </c>
      <c r="P52"/>
      <c r="Q52"/>
      <c r="W52" s="258">
        <f t="shared" si="8"/>
        <v>14</v>
      </c>
      <c r="X52" s="258">
        <f t="shared" si="9"/>
        <v>6</v>
      </c>
      <c r="Y52" s="258" t="str">
        <f t="shared" si="10"/>
        <v>Elmer Seawood</v>
      </c>
      <c r="Z52" s="258">
        <f t="shared" si="11"/>
        <v>2</v>
      </c>
      <c r="AA52" s="258" t="str">
        <f t="shared" si="12"/>
        <v>M</v>
      </c>
      <c r="AB52" s="259"/>
      <c r="AC52" s="260">
        <f t="shared" si="13"/>
        <v>2.3795905726875999</v>
      </c>
      <c r="AD52" s="260">
        <f t="shared" si="14"/>
        <v>1.4009428072292871</v>
      </c>
      <c r="AE52" s="260">
        <f t="shared" si="15"/>
        <v>4.8129803909856195</v>
      </c>
      <c r="AF52" s="260">
        <f t="shared" si="16"/>
        <v>8.593513770902506</v>
      </c>
      <c r="AG52"/>
      <c r="AJ52"/>
    </row>
    <row r="53" spans="1:36" x14ac:dyDescent="0.25">
      <c r="A53" s="246">
        <v>6</v>
      </c>
      <c r="B53" s="246" t="s">
        <v>102</v>
      </c>
      <c r="C53" s="246">
        <v>1</v>
      </c>
      <c r="D53" s="246" t="s">
        <v>254</v>
      </c>
      <c r="E53" s="246">
        <v>15</v>
      </c>
      <c r="F53" s="246" t="s">
        <v>137</v>
      </c>
      <c r="G53" s="247"/>
      <c r="H53" s="248">
        <v>3.3169679641723633</v>
      </c>
      <c r="I53" s="248">
        <v>4.446481466293335</v>
      </c>
      <c r="J53" s="248">
        <v>4.2383608818054199</v>
      </c>
      <c r="K53" s="249">
        <f>IF(COUNT(H53:J53)&lt;L$1,0,1)</f>
        <v>1</v>
      </c>
      <c r="L53" s="250">
        <f>COUNTIF(H53:J53,"&gt;"&amp;0)</f>
        <v>3</v>
      </c>
      <c r="M53" s="251">
        <f>L53*K53</f>
        <v>3</v>
      </c>
      <c r="N53" s="252">
        <f t="shared" si="3"/>
        <v>12.001810312271118</v>
      </c>
      <c r="W53" s="258">
        <f t="shared" si="8"/>
        <v>15</v>
      </c>
      <c r="X53" s="258">
        <f t="shared" si="9"/>
        <v>6</v>
      </c>
      <c r="Y53" s="258" t="str">
        <f t="shared" si="10"/>
        <v>Elmer Seawood</v>
      </c>
      <c r="Z53" s="258">
        <f t="shared" si="11"/>
        <v>1</v>
      </c>
      <c r="AA53" s="258" t="str">
        <f t="shared" si="12"/>
        <v>M</v>
      </c>
      <c r="AB53" s="259"/>
      <c r="AC53" s="260">
        <f t="shared" si="13"/>
        <v>3.5326926207528673</v>
      </c>
      <c r="AD53" s="260">
        <f t="shared" si="14"/>
        <v>4.7356659557633884</v>
      </c>
      <c r="AE53" s="260">
        <f t="shared" si="15"/>
        <v>4.5140098948702336</v>
      </c>
      <c r="AF53" s="260">
        <f t="shared" si="16"/>
        <v>12.782368471386491</v>
      </c>
      <c r="AG53"/>
      <c r="AJ53"/>
    </row>
    <row r="54" spans="1:36" x14ac:dyDescent="0.25">
      <c r="A54" s="246">
        <v>6</v>
      </c>
      <c r="B54" s="246" t="s">
        <v>102</v>
      </c>
      <c r="C54" s="246">
        <v>1</v>
      </c>
      <c r="D54" s="246" t="s">
        <v>254</v>
      </c>
      <c r="E54" s="246">
        <v>17</v>
      </c>
      <c r="F54" s="246" t="s">
        <v>145</v>
      </c>
      <c r="G54" s="247"/>
      <c r="H54" s="248">
        <v>4.071462869644165</v>
      </c>
      <c r="I54" s="248">
        <v>4.6959362030029297</v>
      </c>
      <c r="J54" s="248">
        <v>1.2011783123016357</v>
      </c>
      <c r="K54" s="249">
        <f>IF(COUNT(H54:J54)&lt;L$1,0,1)</f>
        <v>1</v>
      </c>
      <c r="L54" s="250">
        <f>COUNTIF(H54:J54,"&gt;"&amp;0)</f>
        <v>3</v>
      </c>
      <c r="M54" s="251">
        <f>L54*K54</f>
        <v>3</v>
      </c>
      <c r="N54" s="252">
        <f t="shared" si="3"/>
        <v>9.9685773849487305</v>
      </c>
      <c r="W54" s="258">
        <f t="shared" si="8"/>
        <v>17</v>
      </c>
      <c r="X54" s="258">
        <f t="shared" si="9"/>
        <v>6</v>
      </c>
      <c r="Y54" s="258" t="str">
        <f t="shared" si="10"/>
        <v>Elmer Seawood</v>
      </c>
      <c r="Z54" s="258">
        <f t="shared" si="11"/>
        <v>1</v>
      </c>
      <c r="AA54" s="258" t="str">
        <f t="shared" si="12"/>
        <v>M</v>
      </c>
      <c r="AB54" s="259"/>
      <c r="AC54" s="260">
        <f t="shared" si="13"/>
        <v>4.3362573864502432</v>
      </c>
      <c r="AD54" s="260">
        <f t="shared" si="14"/>
        <v>5.001344405813092</v>
      </c>
      <c r="AE54" s="260">
        <f t="shared" si="15"/>
        <v>1.279298988085092</v>
      </c>
      <c r="AF54" s="260">
        <f t="shared" si="16"/>
        <v>10.616900780348427</v>
      </c>
      <c r="AG54"/>
      <c r="AJ54"/>
    </row>
    <row r="55" spans="1:36" x14ac:dyDescent="0.25">
      <c r="A55" s="246">
        <v>6</v>
      </c>
      <c r="B55" s="246" t="s">
        <v>102</v>
      </c>
      <c r="C55" s="246">
        <v>2</v>
      </c>
      <c r="D55" s="246" t="s">
        <v>254</v>
      </c>
      <c r="E55" s="246">
        <v>20</v>
      </c>
      <c r="F55" s="246" t="s">
        <v>157</v>
      </c>
      <c r="G55" s="247"/>
      <c r="H55" s="248">
        <v>4.2994656562805176</v>
      </c>
      <c r="I55" s="248">
        <v>1.9125626087188721</v>
      </c>
      <c r="J55" s="248">
        <v>2.0993947982788086</v>
      </c>
      <c r="K55" s="249">
        <f>IF(COUNT(H55:J55)&lt;L$1,0,1)</f>
        <v>1</v>
      </c>
      <c r="L55" s="250">
        <f>COUNTIF(H55:J55,"&gt;"&amp;0)</f>
        <v>3</v>
      </c>
      <c r="M55" s="251">
        <f>L55*K55</f>
        <v>3</v>
      </c>
      <c r="N55" s="252">
        <f t="shared" si="3"/>
        <v>8.3114230632781982</v>
      </c>
      <c r="W55" s="258">
        <f t="shared" si="8"/>
        <v>20</v>
      </c>
      <c r="X55" s="258">
        <f t="shared" si="9"/>
        <v>6</v>
      </c>
      <c r="Y55" s="258" t="str">
        <f t="shared" si="10"/>
        <v>Elmer Seawood</v>
      </c>
      <c r="Z55" s="258">
        <f t="shared" si="11"/>
        <v>2</v>
      </c>
      <c r="AA55" s="258" t="str">
        <f t="shared" si="12"/>
        <v>M</v>
      </c>
      <c r="AB55" s="259"/>
      <c r="AC55" s="260">
        <f t="shared" si="13"/>
        <v>4.579088722345376</v>
      </c>
      <c r="AD55" s="260">
        <f t="shared" si="14"/>
        <v>2.0369493728996164</v>
      </c>
      <c r="AE55" s="260">
        <f t="shared" si="15"/>
        <v>2.2359325118706841</v>
      </c>
      <c r="AF55" s="260">
        <f t="shared" si="16"/>
        <v>8.8519706071156765</v>
      </c>
      <c r="AG55"/>
      <c r="AJ55"/>
    </row>
    <row r="56" spans="1:36" x14ac:dyDescent="0.25">
      <c r="A56" s="246">
        <v>6</v>
      </c>
      <c r="B56" s="246" t="s">
        <v>102</v>
      </c>
      <c r="C56" s="246">
        <v>2</v>
      </c>
      <c r="D56" s="246" t="s">
        <v>255</v>
      </c>
      <c r="E56" s="246">
        <v>23</v>
      </c>
      <c r="F56" s="246" t="s">
        <v>169</v>
      </c>
      <c r="G56" s="247"/>
      <c r="H56" s="248">
        <v>1.210529088973999</v>
      </c>
      <c r="I56" s="248">
        <v>4.6122336387634277</v>
      </c>
      <c r="J56" s="248">
        <v>4.9517977237701416</v>
      </c>
      <c r="K56" s="249">
        <f>IF(COUNT(H56:J56)&lt;L$1,0,1)</f>
        <v>1</v>
      </c>
      <c r="L56" s="250">
        <f>COUNTIF(H56:J56,"&gt;"&amp;0)</f>
        <v>3</v>
      </c>
      <c r="M56" s="251">
        <f>L56*K56</f>
        <v>3</v>
      </c>
      <c r="N56" s="252">
        <f t="shared" si="3"/>
        <v>10.774560451507568</v>
      </c>
      <c r="W56" s="258">
        <f t="shared" si="8"/>
        <v>23</v>
      </c>
      <c r="X56" s="258">
        <f t="shared" si="9"/>
        <v>6</v>
      </c>
      <c r="Y56" s="258" t="str">
        <f t="shared" si="10"/>
        <v>Elmer Seawood</v>
      </c>
      <c r="Z56" s="258">
        <f t="shared" si="11"/>
        <v>2</v>
      </c>
      <c r="AA56" s="258" t="str">
        <f t="shared" si="12"/>
        <v>H</v>
      </c>
      <c r="AB56" s="259"/>
      <c r="AC56" s="260">
        <f t="shared" si="13"/>
        <v>1.2892579084320988</v>
      </c>
      <c r="AD56" s="260">
        <f t="shared" si="14"/>
        <v>4.9121981028578379</v>
      </c>
      <c r="AE56" s="260">
        <f t="shared" si="15"/>
        <v>5.2738463160250788</v>
      </c>
      <c r="AF56" s="260">
        <f t="shared" si="16"/>
        <v>11.475302327315015</v>
      </c>
      <c r="AG56"/>
      <c r="AJ56"/>
    </row>
    <row r="57" spans="1:36" x14ac:dyDescent="0.25">
      <c r="A57" s="246">
        <v>7</v>
      </c>
      <c r="B57" s="246" t="s">
        <v>106</v>
      </c>
      <c r="C57" s="246">
        <v>1</v>
      </c>
      <c r="D57" s="246" t="s">
        <v>253</v>
      </c>
      <c r="E57" s="246">
        <v>1</v>
      </c>
      <c r="F57" s="246" t="s">
        <v>81</v>
      </c>
      <c r="G57" s="247"/>
      <c r="H57" s="248">
        <v>2.049072265625</v>
      </c>
      <c r="I57" s="248">
        <v>3.1593482494354248</v>
      </c>
      <c r="J57" s="248">
        <v>2.3722214698791504</v>
      </c>
      <c r="K57" s="249">
        <f>IF(COUNT(H57:J57)&lt;L$1,0,1)</f>
        <v>1</v>
      </c>
      <c r="L57" s="250">
        <f>COUNTIF(H57:J57,"&gt;"&amp;0)</f>
        <v>3</v>
      </c>
      <c r="M57" s="251">
        <f>L57*K57</f>
        <v>3</v>
      </c>
      <c r="N57" s="252">
        <f t="shared" si="3"/>
        <v>7.5806419849395752</v>
      </c>
      <c r="W57" s="258">
        <f t="shared" si="8"/>
        <v>1</v>
      </c>
      <c r="X57" s="258">
        <f t="shared" si="9"/>
        <v>7</v>
      </c>
      <c r="Y57" s="258" t="str">
        <f t="shared" si="10"/>
        <v>Aldo Range</v>
      </c>
      <c r="Z57" s="258">
        <f t="shared" si="11"/>
        <v>1</v>
      </c>
      <c r="AA57" s="258" t="str">
        <f t="shared" si="12"/>
        <v>L</v>
      </c>
      <c r="AB57" s="259"/>
      <c r="AC57" s="260">
        <f t="shared" si="13"/>
        <v>2.6055196962037113</v>
      </c>
      <c r="AD57" s="260">
        <f t="shared" si="14"/>
        <v>4.0173029664036282</v>
      </c>
      <c r="AE57" s="260">
        <f t="shared" si="15"/>
        <v>3.0164235138101292</v>
      </c>
      <c r="AF57" s="260">
        <f t="shared" si="16"/>
        <v>9.6392461764174691</v>
      </c>
      <c r="AG57"/>
      <c r="AJ57"/>
    </row>
    <row r="58" spans="1:36" x14ac:dyDescent="0.25">
      <c r="A58" s="246">
        <v>7</v>
      </c>
      <c r="B58" s="246" t="s">
        <v>106</v>
      </c>
      <c r="C58" s="246">
        <v>4</v>
      </c>
      <c r="D58" s="246" t="s">
        <v>253</v>
      </c>
      <c r="E58" s="246">
        <v>4</v>
      </c>
      <c r="F58" s="246" t="s">
        <v>93</v>
      </c>
      <c r="G58" s="247"/>
      <c r="H58" s="248">
        <v>1.8524982929229736</v>
      </c>
      <c r="I58" s="248">
        <v>1.8049783706665039</v>
      </c>
      <c r="J58" s="248">
        <v>1.5176064968109131</v>
      </c>
      <c r="K58" s="249">
        <f>IF(COUNT(H58:J58)&lt;L$1,0,1)</f>
        <v>1</v>
      </c>
      <c r="L58" s="250">
        <f>COUNTIF(H58:J58,"&gt;"&amp;0)</f>
        <v>3</v>
      </c>
      <c r="M58" s="251">
        <f>L58*K58</f>
        <v>3</v>
      </c>
      <c r="N58" s="252">
        <f t="shared" si="3"/>
        <v>5.1750831604003906</v>
      </c>
      <c r="W58" s="258">
        <f t="shared" si="8"/>
        <v>4</v>
      </c>
      <c r="X58" s="258">
        <f t="shared" si="9"/>
        <v>7</v>
      </c>
      <c r="Y58" s="258" t="str">
        <f t="shared" si="10"/>
        <v>Aldo Range</v>
      </c>
      <c r="Z58" s="258">
        <f t="shared" si="11"/>
        <v>4</v>
      </c>
      <c r="AA58" s="258" t="str">
        <f t="shared" si="12"/>
        <v>L</v>
      </c>
      <c r="AB58" s="259"/>
      <c r="AC58" s="260">
        <f t="shared" si="13"/>
        <v>2.3555639644179815</v>
      </c>
      <c r="AD58" s="260">
        <f t="shared" si="14"/>
        <v>2.2951395003918016</v>
      </c>
      <c r="AE58" s="260">
        <f t="shared" si="15"/>
        <v>1.9297287288798808</v>
      </c>
      <c r="AF58" s="260">
        <f t="shared" si="16"/>
        <v>6.5804321936896644</v>
      </c>
      <c r="AG58"/>
      <c r="AJ58"/>
    </row>
    <row r="59" spans="1:36" x14ac:dyDescent="0.25">
      <c r="A59" s="246">
        <v>7</v>
      </c>
      <c r="B59" s="246" t="s">
        <v>106</v>
      </c>
      <c r="C59" s="246">
        <v>2</v>
      </c>
      <c r="D59" s="246" t="s">
        <v>253</v>
      </c>
      <c r="E59" s="246">
        <v>9</v>
      </c>
      <c r="F59" s="246" t="s">
        <v>113</v>
      </c>
      <c r="G59" s="247"/>
      <c r="H59" s="248">
        <v>3.4195170402526855</v>
      </c>
      <c r="I59" s="248">
        <v>3.3444006443023682</v>
      </c>
      <c r="J59" s="248">
        <v>4.4279041290283203</v>
      </c>
      <c r="K59" s="249">
        <f>IF(COUNT(H59:J59)&lt;L$1,0,1)</f>
        <v>1</v>
      </c>
      <c r="L59" s="250">
        <f>COUNTIF(H59:J59,"&gt;"&amp;0)</f>
        <v>3</v>
      </c>
      <c r="M59" s="251">
        <f>L59*K59</f>
        <v>3</v>
      </c>
      <c r="N59" s="252">
        <f t="shared" si="3"/>
        <v>11.191821813583374</v>
      </c>
      <c r="W59" s="258">
        <f t="shared" si="8"/>
        <v>9</v>
      </c>
      <c r="X59" s="258">
        <f t="shared" si="9"/>
        <v>7</v>
      </c>
      <c r="Y59" s="258" t="str">
        <f t="shared" si="10"/>
        <v>Aldo Range</v>
      </c>
      <c r="Z59" s="258">
        <f t="shared" si="11"/>
        <v>2</v>
      </c>
      <c r="AA59" s="258" t="str">
        <f t="shared" si="12"/>
        <v>L</v>
      </c>
      <c r="AB59" s="259"/>
      <c r="AC59" s="260">
        <f t="shared" si="13"/>
        <v>4.3481233675109134</v>
      </c>
      <c r="AD59" s="260">
        <f t="shared" si="14"/>
        <v>4.2526083129958927</v>
      </c>
      <c r="AE59" s="260">
        <f t="shared" si="15"/>
        <v>5.6303487264106131</v>
      </c>
      <c r="AF59" s="260">
        <f t="shared" si="16"/>
        <v>14.231080406917419</v>
      </c>
      <c r="AG59"/>
      <c r="AJ59"/>
    </row>
    <row r="60" spans="1:36" x14ac:dyDescent="0.25">
      <c r="A60" s="246">
        <v>7</v>
      </c>
      <c r="B60" s="246" t="s">
        <v>106</v>
      </c>
      <c r="C60" s="246">
        <v>3</v>
      </c>
      <c r="D60" s="246" t="s">
        <v>253</v>
      </c>
      <c r="E60" s="246">
        <v>10</v>
      </c>
      <c r="F60" s="246" t="s">
        <v>117</v>
      </c>
      <c r="G60" s="247"/>
      <c r="H60" s="248">
        <v>1.3529307842254639</v>
      </c>
      <c r="I60" s="248">
        <v>1.8012394905090332</v>
      </c>
      <c r="J60" s="248">
        <v>3.5361473560333252</v>
      </c>
      <c r="K60" s="249">
        <f>IF(COUNT(H60:J60)&lt;L$1,0,1)</f>
        <v>1</v>
      </c>
      <c r="L60" s="250">
        <f>COUNTIF(H60:J60,"&gt;"&amp;0)</f>
        <v>3</v>
      </c>
      <c r="M60" s="251">
        <f>L60*K60</f>
        <v>3</v>
      </c>
      <c r="N60" s="252">
        <f t="shared" si="3"/>
        <v>6.6903176307678223</v>
      </c>
      <c r="W60" s="258">
        <f t="shared" si="8"/>
        <v>10</v>
      </c>
      <c r="X60" s="258">
        <f t="shared" si="9"/>
        <v>7</v>
      </c>
      <c r="Y60" s="258" t="str">
        <f t="shared" si="10"/>
        <v>Aldo Range</v>
      </c>
      <c r="Z60" s="258">
        <f t="shared" si="11"/>
        <v>3</v>
      </c>
      <c r="AA60" s="258" t="str">
        <f t="shared" si="12"/>
        <v>L</v>
      </c>
      <c r="AB60" s="259"/>
      <c r="AC60" s="260">
        <f t="shared" si="13"/>
        <v>1.7203335699946976</v>
      </c>
      <c r="AD60" s="260">
        <f t="shared" si="14"/>
        <v>2.29038528744604</v>
      </c>
      <c r="AE60" s="260">
        <f t="shared" si="15"/>
        <v>4.496425889602893</v>
      </c>
      <c r="AF60" s="260">
        <f t="shared" si="16"/>
        <v>8.5071447470436308</v>
      </c>
      <c r="AG60"/>
      <c r="AJ60"/>
    </row>
    <row r="61" spans="1:36" x14ac:dyDescent="0.25">
      <c r="A61" s="246">
        <v>7</v>
      </c>
      <c r="B61" s="246" t="s">
        <v>106</v>
      </c>
      <c r="C61" s="246">
        <v>3</v>
      </c>
      <c r="D61" s="246" t="s">
        <v>253</v>
      </c>
      <c r="E61" s="246">
        <v>12</v>
      </c>
      <c r="F61" s="246" t="s">
        <v>125</v>
      </c>
      <c r="G61" s="247"/>
      <c r="H61" s="248">
        <v>2.8419218063354492</v>
      </c>
      <c r="I61" s="248">
        <v>2.1431043148040771</v>
      </c>
      <c r="J61" s="248">
        <v>4.3340392112731934</v>
      </c>
      <c r="K61" s="249">
        <f>IF(COUNT(H61:J61)&lt;L$1,0,1)</f>
        <v>1</v>
      </c>
      <c r="L61" s="250">
        <f>COUNTIF(H61:J61,"&gt;"&amp;0)</f>
        <v>3</v>
      </c>
      <c r="M61" s="251">
        <f>L61*K61</f>
        <v>3</v>
      </c>
      <c r="N61" s="252">
        <f t="shared" si="3"/>
        <v>9.3190653324127197</v>
      </c>
      <c r="W61" s="258">
        <f t="shared" si="8"/>
        <v>12</v>
      </c>
      <c r="X61" s="258">
        <f t="shared" si="9"/>
        <v>7</v>
      </c>
      <c r="Y61" s="258" t="str">
        <f t="shared" si="10"/>
        <v>Aldo Range</v>
      </c>
      <c r="Z61" s="258">
        <f t="shared" si="11"/>
        <v>3</v>
      </c>
      <c r="AA61" s="258" t="str">
        <f t="shared" si="12"/>
        <v>L</v>
      </c>
      <c r="AB61" s="259"/>
      <c r="AC61" s="260">
        <f t="shared" si="13"/>
        <v>3.6136759867858026</v>
      </c>
      <c r="AD61" s="260">
        <f t="shared" si="14"/>
        <v>2.7250871513494439</v>
      </c>
      <c r="AE61" s="260">
        <f t="shared" si="15"/>
        <v>5.5109937890097456</v>
      </c>
      <c r="AF61" s="260">
        <f t="shared" si="16"/>
        <v>11.849756927144991</v>
      </c>
      <c r="AG61"/>
      <c r="AJ61"/>
    </row>
    <row r="62" spans="1:36" x14ac:dyDescent="0.25">
      <c r="A62" s="246">
        <v>7</v>
      </c>
      <c r="B62" s="246" t="s">
        <v>106</v>
      </c>
      <c r="C62" s="246">
        <v>3</v>
      </c>
      <c r="D62" s="246" t="s">
        <v>253</v>
      </c>
      <c r="E62" s="246">
        <v>14</v>
      </c>
      <c r="F62" s="246" t="s">
        <v>133</v>
      </c>
      <c r="G62" s="247"/>
      <c r="H62" s="248">
        <v>2.2277872562408447</v>
      </c>
      <c r="I62" s="248">
        <v>4.8968849182128906</v>
      </c>
      <c r="J62" s="248">
        <v>2.5885665416717529</v>
      </c>
      <c r="K62" s="249">
        <f>IF(COUNT(H62:J62)&lt;L$1,0,1)</f>
        <v>1</v>
      </c>
      <c r="L62" s="250">
        <f>COUNTIF(H62:J62,"&gt;"&amp;0)</f>
        <v>3</v>
      </c>
      <c r="M62" s="251">
        <f>L62*K62</f>
        <v>3</v>
      </c>
      <c r="N62" s="252">
        <f t="shared" si="3"/>
        <v>9.7132387161254883</v>
      </c>
      <c r="W62" s="258">
        <f t="shared" si="8"/>
        <v>14</v>
      </c>
      <c r="X62" s="258">
        <f t="shared" si="9"/>
        <v>7</v>
      </c>
      <c r="Y62" s="258" t="str">
        <f t="shared" si="10"/>
        <v>Aldo Range</v>
      </c>
      <c r="Z62" s="258">
        <f t="shared" si="11"/>
        <v>3</v>
      </c>
      <c r="AA62" s="258" t="str">
        <f t="shared" si="12"/>
        <v>L</v>
      </c>
      <c r="AB62" s="259"/>
      <c r="AC62" s="260">
        <f t="shared" si="13"/>
        <v>2.8327666488212735</v>
      </c>
      <c r="AD62" s="260">
        <f t="shared" si="14"/>
        <v>6.2266862513777212</v>
      </c>
      <c r="AE62" s="260">
        <f t="shared" si="15"/>
        <v>3.2915193975369519</v>
      </c>
      <c r="AF62" s="260">
        <f t="shared" si="16"/>
        <v>12.350972297735947</v>
      </c>
      <c r="AG62"/>
      <c r="AJ62"/>
    </row>
    <row r="63" spans="1:36" x14ac:dyDescent="0.25">
      <c r="A63" s="246">
        <v>7</v>
      </c>
      <c r="B63" s="246" t="s">
        <v>106</v>
      </c>
      <c r="C63" s="246">
        <v>3</v>
      </c>
      <c r="D63" s="246" t="s">
        <v>253</v>
      </c>
      <c r="E63" s="246">
        <v>16</v>
      </c>
      <c r="F63" s="246" t="s">
        <v>141</v>
      </c>
      <c r="G63" s="247"/>
      <c r="H63" s="248">
        <v>4.166597843170166</v>
      </c>
      <c r="I63" s="248">
        <v>4.2232754230499268</v>
      </c>
      <c r="J63" s="248">
        <v>3.4309282302856445</v>
      </c>
      <c r="K63" s="249">
        <f>IF(COUNT(H63:J63)&lt;L$1,0,1)</f>
        <v>1</v>
      </c>
      <c r="L63" s="250">
        <f>COUNTIF(H63:J63,"&gt;"&amp;0)</f>
        <v>3</v>
      </c>
      <c r="M63" s="251">
        <f>L63*K63</f>
        <v>3</v>
      </c>
      <c r="N63" s="252">
        <f t="shared" si="3"/>
        <v>11.820801496505737</v>
      </c>
      <c r="W63" s="258">
        <f t="shared" si="8"/>
        <v>16</v>
      </c>
      <c r="X63" s="258">
        <f t="shared" si="9"/>
        <v>7</v>
      </c>
      <c r="Y63" s="258" t="str">
        <f t="shared" si="10"/>
        <v>Aldo Range</v>
      </c>
      <c r="Z63" s="258">
        <f t="shared" si="11"/>
        <v>3</v>
      </c>
      <c r="AA63" s="258" t="str">
        <f t="shared" si="12"/>
        <v>L</v>
      </c>
      <c r="AB63" s="259"/>
      <c r="AC63" s="260">
        <f t="shared" si="13"/>
        <v>5.2980819313507563</v>
      </c>
      <c r="AD63" s="260">
        <f t="shared" si="14"/>
        <v>5.3701509126098594</v>
      </c>
      <c r="AE63" s="260">
        <f t="shared" si="15"/>
        <v>4.3626333879171133</v>
      </c>
      <c r="AF63" s="260">
        <f t="shared" si="16"/>
        <v>15.030866231877731</v>
      </c>
      <c r="AG63"/>
      <c r="AJ63"/>
    </row>
    <row r="64" spans="1:36" x14ac:dyDescent="0.25">
      <c r="A64" s="246">
        <v>7</v>
      </c>
      <c r="B64" s="246" t="s">
        <v>106</v>
      </c>
      <c r="C64" s="246">
        <v>4</v>
      </c>
      <c r="D64" s="246" t="s">
        <v>253</v>
      </c>
      <c r="E64" s="246">
        <v>18</v>
      </c>
      <c r="F64" s="246" t="s">
        <v>149</v>
      </c>
      <c r="G64" s="247"/>
      <c r="H64" s="248">
        <v>2.4249131679534912</v>
      </c>
      <c r="I64" s="248">
        <v>3.3421282768249512</v>
      </c>
      <c r="J64" s="248">
        <v>3.6429731845855713</v>
      </c>
      <c r="K64" s="249">
        <f>IF(COUNT(H64:J64)&lt;L$1,0,1)</f>
        <v>1</v>
      </c>
      <c r="L64" s="250">
        <f>COUNTIF(H64:J64,"&gt;"&amp;0)</f>
        <v>3</v>
      </c>
      <c r="M64" s="251">
        <f>L64*K64</f>
        <v>3</v>
      </c>
      <c r="N64" s="252">
        <f t="shared" si="3"/>
        <v>9.4100146293640137</v>
      </c>
      <c r="W64" s="258">
        <f t="shared" si="8"/>
        <v>18</v>
      </c>
      <c r="X64" s="258">
        <f t="shared" si="9"/>
        <v>7</v>
      </c>
      <c r="Y64" s="258" t="str">
        <f t="shared" si="10"/>
        <v>Aldo Range</v>
      </c>
      <c r="Z64" s="258">
        <f t="shared" si="11"/>
        <v>4</v>
      </c>
      <c r="AA64" s="258" t="str">
        <f t="shared" si="12"/>
        <v>L</v>
      </c>
      <c r="AB64" s="259"/>
      <c r="AC64" s="260">
        <f t="shared" si="13"/>
        <v>3.0834242045433276</v>
      </c>
      <c r="AD64" s="260">
        <f t="shared" si="14"/>
        <v>4.2497188598913107</v>
      </c>
      <c r="AE64" s="260">
        <f t="shared" si="15"/>
        <v>4.6322614113780416</v>
      </c>
      <c r="AF64" s="260">
        <f t="shared" si="16"/>
        <v>11.965404475812679</v>
      </c>
      <c r="AG64"/>
      <c r="AJ64"/>
    </row>
    <row r="65" spans="1:36" x14ac:dyDescent="0.25">
      <c r="A65" s="246">
        <v>7</v>
      </c>
      <c r="B65" s="246" t="s">
        <v>106</v>
      </c>
      <c r="C65" s="246">
        <v>4</v>
      </c>
      <c r="D65" s="246" t="s">
        <v>253</v>
      </c>
      <c r="E65" s="246">
        <v>19</v>
      </c>
      <c r="F65" s="246" t="s">
        <v>153</v>
      </c>
      <c r="G65" s="247"/>
      <c r="H65" s="248">
        <v>3.3329677581787109</v>
      </c>
      <c r="I65" s="248">
        <v>1.235396146774292</v>
      </c>
      <c r="J65" s="248">
        <v>4.3608746528625488</v>
      </c>
      <c r="K65" s="249">
        <f>IF(COUNT(H65:J65)&lt;L$1,0,1)</f>
        <v>1</v>
      </c>
      <c r="L65" s="250">
        <f>COUNTIF(H65:J65,"&gt;"&amp;0)</f>
        <v>3</v>
      </c>
      <c r="M65" s="251">
        <f>L65*K65</f>
        <v>3</v>
      </c>
      <c r="N65" s="252">
        <f t="shared" si="3"/>
        <v>8.9292385578155518</v>
      </c>
      <c r="W65" s="258">
        <f t="shared" si="8"/>
        <v>19</v>
      </c>
      <c r="X65" s="258">
        <f t="shared" si="9"/>
        <v>7</v>
      </c>
      <c r="Y65" s="258" t="str">
        <f t="shared" si="10"/>
        <v>Aldo Range</v>
      </c>
      <c r="Z65" s="258">
        <f t="shared" si="11"/>
        <v>4</v>
      </c>
      <c r="AA65" s="258" t="str">
        <f t="shared" si="12"/>
        <v>L</v>
      </c>
      <c r="AB65" s="259"/>
      <c r="AC65" s="260">
        <f t="shared" si="13"/>
        <v>4.238070704694139</v>
      </c>
      <c r="AD65" s="260">
        <f t="shared" si="14"/>
        <v>1.5708811480364202</v>
      </c>
      <c r="AE65" s="260">
        <f t="shared" si="15"/>
        <v>5.5451166810084151</v>
      </c>
      <c r="AF65" s="260">
        <f t="shared" si="16"/>
        <v>11.354068533738975</v>
      </c>
      <c r="AG65"/>
      <c r="AJ65"/>
    </row>
    <row r="66" spans="1:36" x14ac:dyDescent="0.25">
      <c r="A66" s="246">
        <v>7</v>
      </c>
      <c r="B66" s="246" t="s">
        <v>106</v>
      </c>
      <c r="C66" s="246">
        <v>3</v>
      </c>
      <c r="D66" s="246" t="s">
        <v>254</v>
      </c>
      <c r="E66" s="246">
        <v>23</v>
      </c>
      <c r="F66" s="246" t="s">
        <v>169</v>
      </c>
      <c r="G66" s="247"/>
      <c r="H66" s="248">
        <v>1.2361481189727783</v>
      </c>
      <c r="I66" s="248">
        <v>1.6052007675170898</v>
      </c>
      <c r="J66" s="248">
        <v>2.2634236812591553</v>
      </c>
      <c r="K66" s="249">
        <f>IF(COUNT(H66:J66)&lt;L$1,0,1)</f>
        <v>1</v>
      </c>
      <c r="L66" s="250">
        <f>COUNTIF(H66:J66,"&gt;"&amp;0)</f>
        <v>3</v>
      </c>
      <c r="M66" s="251">
        <f>L66*K66</f>
        <v>3</v>
      </c>
      <c r="N66" s="252">
        <f t="shared" si="3"/>
        <v>5.1047725677490234</v>
      </c>
      <c r="W66" s="258">
        <f t="shared" si="8"/>
        <v>23</v>
      </c>
      <c r="X66" s="258">
        <f t="shared" si="9"/>
        <v>7</v>
      </c>
      <c r="Y66" s="258" t="str">
        <f t="shared" si="10"/>
        <v>Aldo Range</v>
      </c>
      <c r="Z66" s="258">
        <f t="shared" si="11"/>
        <v>3</v>
      </c>
      <c r="AA66" s="258" t="str">
        <f t="shared" si="12"/>
        <v>M</v>
      </c>
      <c r="AB66" s="259"/>
      <c r="AC66" s="260">
        <f t="shared" si="13"/>
        <v>1.5718373263064709</v>
      </c>
      <c r="AD66" s="260">
        <f t="shared" si="14"/>
        <v>2.0411101581385167</v>
      </c>
      <c r="AE66" s="260">
        <f t="shared" si="15"/>
        <v>2.8780805251765194</v>
      </c>
      <c r="AF66" s="260">
        <f t="shared" si="16"/>
        <v>6.4910280096215072</v>
      </c>
      <c r="AG66"/>
      <c r="AJ66"/>
    </row>
    <row r="67" spans="1:36" x14ac:dyDescent="0.25">
      <c r="A67" s="246">
        <v>8</v>
      </c>
      <c r="B67" s="246" t="s">
        <v>110</v>
      </c>
      <c r="C67" s="246">
        <v>3</v>
      </c>
      <c r="D67" s="246" t="s">
        <v>253</v>
      </c>
      <c r="E67" s="246">
        <v>3</v>
      </c>
      <c r="F67" s="246" t="s">
        <v>89</v>
      </c>
      <c r="G67" s="247"/>
      <c r="H67" s="248">
        <v>2.742612361907959</v>
      </c>
      <c r="I67" s="248">
        <v>2.6934740543365479</v>
      </c>
      <c r="J67" s="248">
        <v>4.4256057739257813</v>
      </c>
      <c r="K67" s="249">
        <f>IF(COUNT(H67:J67)&lt;L$1,0,1)</f>
        <v>1</v>
      </c>
      <c r="L67" s="250">
        <f>COUNTIF(H67:J67,"&gt;"&amp;0)</f>
        <v>3</v>
      </c>
      <c r="M67" s="251">
        <f>L67*K67</f>
        <v>3</v>
      </c>
      <c r="N67" s="252">
        <f t="shared" si="3"/>
        <v>9.8616921901702881</v>
      </c>
      <c r="W67" s="258">
        <f t="shared" si="8"/>
        <v>3</v>
      </c>
      <c r="X67" s="258">
        <f t="shared" si="9"/>
        <v>8</v>
      </c>
      <c r="Y67" s="258" t="str">
        <f t="shared" si="10"/>
        <v>Dena Demas</v>
      </c>
      <c r="Z67" s="258">
        <f t="shared" si="11"/>
        <v>3</v>
      </c>
      <c r="AA67" s="258" t="str">
        <f t="shared" si="12"/>
        <v>L</v>
      </c>
      <c r="AB67" s="259"/>
      <c r="AC67" s="260">
        <f t="shared" si="13"/>
        <v>3.5698692198943349</v>
      </c>
      <c r="AD67" s="260">
        <f t="shared" si="14"/>
        <v>3.5059092763918387</v>
      </c>
      <c r="AE67" s="260">
        <f t="shared" si="15"/>
        <v>5.7605055862628305</v>
      </c>
      <c r="AF67" s="260">
        <f t="shared" si="16"/>
        <v>12.836284082549003</v>
      </c>
      <c r="AG67"/>
      <c r="AJ67"/>
    </row>
    <row r="68" spans="1:36" x14ac:dyDescent="0.25">
      <c r="A68" s="246">
        <v>8</v>
      </c>
      <c r="B68" s="246" t="s">
        <v>110</v>
      </c>
      <c r="C68" s="246">
        <v>3</v>
      </c>
      <c r="D68" s="246" t="s">
        <v>253</v>
      </c>
      <c r="E68" s="246">
        <v>5</v>
      </c>
      <c r="F68" s="246" t="s">
        <v>97</v>
      </c>
      <c r="G68" s="247"/>
      <c r="H68" s="248">
        <v>1.2250602245330811</v>
      </c>
      <c r="I68" s="248">
        <v>4.5891480445861816</v>
      </c>
      <c r="J68" s="248">
        <v>1.9595310688018799</v>
      </c>
      <c r="K68" s="249">
        <f>IF(COUNT(H68:J68)&lt;L$1,0,1)</f>
        <v>1</v>
      </c>
      <c r="L68" s="250">
        <f>COUNTIF(H68:J68,"&gt;"&amp;0)</f>
        <v>3</v>
      </c>
      <c r="M68" s="251">
        <f>L68*K68</f>
        <v>3</v>
      </c>
      <c r="N68" s="252">
        <f t="shared" si="3"/>
        <v>7.7737393379211426</v>
      </c>
      <c r="W68" s="258">
        <f t="shared" si="8"/>
        <v>5</v>
      </c>
      <c r="X68" s="258">
        <f t="shared" si="9"/>
        <v>8</v>
      </c>
      <c r="Y68" s="258" t="str">
        <f t="shared" si="10"/>
        <v>Dena Demas</v>
      </c>
      <c r="Z68" s="258">
        <f t="shared" si="11"/>
        <v>3</v>
      </c>
      <c r="AA68" s="258" t="str">
        <f t="shared" si="12"/>
        <v>L</v>
      </c>
      <c r="AB68" s="259"/>
      <c r="AC68" s="260">
        <f t="shared" si="13"/>
        <v>1.5945763421831523</v>
      </c>
      <c r="AD68" s="260">
        <f t="shared" si="14"/>
        <v>5.9733772725028942</v>
      </c>
      <c r="AE68" s="260">
        <f t="shared" si="15"/>
        <v>2.5505863479285367</v>
      </c>
      <c r="AF68" s="260">
        <f t="shared" si="16"/>
        <v>10.118539962614584</v>
      </c>
      <c r="AG68"/>
    </row>
    <row r="69" spans="1:36" x14ac:dyDescent="0.25">
      <c r="A69" s="246">
        <v>8</v>
      </c>
      <c r="B69" s="246" t="s">
        <v>110</v>
      </c>
      <c r="C69" s="246">
        <v>3</v>
      </c>
      <c r="D69" s="246" t="s">
        <v>253</v>
      </c>
      <c r="E69" s="246">
        <v>6</v>
      </c>
      <c r="F69" s="246" t="s">
        <v>101</v>
      </c>
      <c r="G69" s="247"/>
      <c r="H69" s="248">
        <v>1.2104425430297852</v>
      </c>
      <c r="I69" s="248">
        <v>4.1215264797210693</v>
      </c>
      <c r="J69" s="248">
        <v>1.1468195915222168</v>
      </c>
      <c r="K69" s="249">
        <f>IF(COUNT(H69:J69)&lt;L$1,0,1)</f>
        <v>1</v>
      </c>
      <c r="L69" s="250">
        <f>COUNTIF(H69:J69,"&gt;"&amp;0)</f>
        <v>3</v>
      </c>
      <c r="M69" s="251">
        <f>L69*K69</f>
        <v>3</v>
      </c>
      <c r="N69" s="252">
        <f t="shared" si="3"/>
        <v>6.4787886142730713</v>
      </c>
      <c r="W69" s="258">
        <f t="shared" si="8"/>
        <v>6</v>
      </c>
      <c r="X69" s="258">
        <f t="shared" si="9"/>
        <v>8</v>
      </c>
      <c r="Y69" s="258" t="str">
        <f t="shared" si="10"/>
        <v>Dena Demas</v>
      </c>
      <c r="Z69" s="258">
        <f t="shared" si="11"/>
        <v>3</v>
      </c>
      <c r="AA69" s="258" t="str">
        <f t="shared" si="12"/>
        <v>L</v>
      </c>
      <c r="AB69" s="259"/>
      <c r="AC69" s="260">
        <f t="shared" si="13"/>
        <v>1.5755495150640138</v>
      </c>
      <c r="AD69" s="260">
        <f t="shared" si="14"/>
        <v>5.364706556160951</v>
      </c>
      <c r="AE69" s="260">
        <f t="shared" si="15"/>
        <v>1.4927359102614404</v>
      </c>
      <c r="AF69" s="260">
        <f t="shared" si="16"/>
        <v>8.4329919814864063</v>
      </c>
      <c r="AG69"/>
    </row>
    <row r="70" spans="1:36" x14ac:dyDescent="0.25">
      <c r="A70" s="246">
        <v>8</v>
      </c>
      <c r="B70" s="246" t="s">
        <v>110</v>
      </c>
      <c r="C70" s="246">
        <v>3</v>
      </c>
      <c r="D70" s="246" t="s">
        <v>253</v>
      </c>
      <c r="E70" s="246">
        <v>7</v>
      </c>
      <c r="F70" s="246" t="s">
        <v>105</v>
      </c>
      <c r="G70" s="247"/>
      <c r="H70" s="248">
        <v>1.5453054904937744</v>
      </c>
      <c r="I70" s="248">
        <v>3.6767520904541016</v>
      </c>
      <c r="J70" s="248">
        <v>2.0516993999481201</v>
      </c>
      <c r="K70" s="249">
        <f>IF(COUNT(H70:J70)&lt;L$1,0,1)</f>
        <v>1</v>
      </c>
      <c r="L70" s="250">
        <f>COUNTIF(H70:J70,"&gt;"&amp;0)</f>
        <v>3</v>
      </c>
      <c r="M70" s="251">
        <f>L70*K70</f>
        <v>3</v>
      </c>
      <c r="N70" s="252">
        <f t="shared" ref="N70:N104" si="17">IF(M70=L$1,SUM(H70:J70),"")</f>
        <v>7.2737569808959961</v>
      </c>
      <c r="W70" s="258">
        <f t="shared" ref="W70:W104" si="18">E70</f>
        <v>7</v>
      </c>
      <c r="X70" s="258">
        <f t="shared" ref="X70:X104" si="19">A70</f>
        <v>8</v>
      </c>
      <c r="Y70" s="258" t="str">
        <f t="shared" ref="Y70:Y104" si="20">B70</f>
        <v>Dena Demas</v>
      </c>
      <c r="Z70" s="258">
        <f t="shared" ref="Z70:Z104" si="21">C70</f>
        <v>3</v>
      </c>
      <c r="AA70" s="258" t="str">
        <f t="shared" ref="AA70:AA104" si="22">D70</f>
        <v>L</v>
      </c>
      <c r="AB70" s="259"/>
      <c r="AC70" s="260">
        <f t="shared" ref="AC70:AC104" si="23">IF(AND(LEN(H70)&gt;0,$K70=1),H70*VLOOKUP($X70,$P:$U,6,FALSE),"")</f>
        <v>2.011417501965076</v>
      </c>
      <c r="AD70" s="260">
        <f t="shared" ref="AD70:AD104" si="24">IF(AND(LEN(I70)&gt;0,$K70=1),I70*VLOOKUP($X70,$P:$U,6,FALSE),"")</f>
        <v>4.7857744314122419</v>
      </c>
      <c r="AE70" s="260">
        <f t="shared" ref="AE70:AE104" si="25">IF(AND(LEN(J70)&gt;0,$K70=1),J70*VLOOKUP($X70,$P:$U,6,FALSE),"")</f>
        <v>2.6705555032411361</v>
      </c>
      <c r="AF70" s="260">
        <f t="shared" ref="AF70:AF104" si="26">SUM(AC70:AE70)</f>
        <v>9.4677474366184544</v>
      </c>
      <c r="AG70"/>
    </row>
    <row r="71" spans="1:36" x14ac:dyDescent="0.25">
      <c r="A71" s="246">
        <v>8</v>
      </c>
      <c r="B71" s="246" t="s">
        <v>110</v>
      </c>
      <c r="C71" s="246">
        <v>2</v>
      </c>
      <c r="D71" s="246" t="s">
        <v>253</v>
      </c>
      <c r="E71" s="246">
        <v>10</v>
      </c>
      <c r="F71" s="246" t="s">
        <v>117</v>
      </c>
      <c r="G71" s="247"/>
      <c r="H71" s="248">
        <v>4.3689961433410645</v>
      </c>
      <c r="I71" s="248">
        <v>1.8406898975372314</v>
      </c>
      <c r="J71" s="248">
        <v>1.9048566818237305</v>
      </c>
      <c r="K71" s="249">
        <f>IF(COUNT(H71:J71)&lt;L$1,0,1)</f>
        <v>1</v>
      </c>
      <c r="L71" s="250">
        <f>COUNTIF(H71:J71,"&gt;"&amp;0)</f>
        <v>3</v>
      </c>
      <c r="M71" s="251">
        <f>L71*K71</f>
        <v>3</v>
      </c>
      <c r="N71" s="252">
        <f t="shared" si="17"/>
        <v>8.1145427227020264</v>
      </c>
      <c r="W71" s="258">
        <f t="shared" si="18"/>
        <v>10</v>
      </c>
      <c r="X71" s="258">
        <f t="shared" si="19"/>
        <v>8</v>
      </c>
      <c r="Y71" s="258" t="str">
        <f t="shared" si="20"/>
        <v>Dena Demas</v>
      </c>
      <c r="Z71" s="258">
        <f t="shared" si="21"/>
        <v>2</v>
      </c>
      <c r="AA71" s="258" t="str">
        <f t="shared" si="22"/>
        <v>L</v>
      </c>
      <c r="AB71" s="259"/>
      <c r="AC71" s="260">
        <f t="shared" si="23"/>
        <v>5.6868207372550827</v>
      </c>
      <c r="AD71" s="260">
        <f t="shared" si="24"/>
        <v>2.3958989975591529</v>
      </c>
      <c r="AE71" s="260">
        <f t="shared" si="25"/>
        <v>2.4794204719554167</v>
      </c>
      <c r="AF71" s="260">
        <f t="shared" si="26"/>
        <v>10.562140206769651</v>
      </c>
      <c r="AG71"/>
    </row>
    <row r="72" spans="1:36" x14ac:dyDescent="0.25">
      <c r="A72" s="246">
        <v>8</v>
      </c>
      <c r="B72" s="246" t="s">
        <v>110</v>
      </c>
      <c r="C72" s="246">
        <v>3</v>
      </c>
      <c r="D72" s="246" t="s">
        <v>253</v>
      </c>
      <c r="E72" s="246">
        <v>11</v>
      </c>
      <c r="F72" s="246" t="s">
        <v>121</v>
      </c>
      <c r="G72" s="247"/>
      <c r="H72" s="248">
        <v>3.0246121883392334</v>
      </c>
      <c r="I72" s="248">
        <v>3.4785780906677246</v>
      </c>
      <c r="J72" s="248">
        <v>3.426983118057251</v>
      </c>
      <c r="K72" s="249">
        <f>IF(COUNT(H72:J72)&lt;L$1,0,1)</f>
        <v>1</v>
      </c>
      <c r="L72" s="250">
        <f>COUNTIF(H72:J72,"&gt;"&amp;0)</f>
        <v>3</v>
      </c>
      <c r="M72" s="251">
        <f>L72*K72</f>
        <v>3</v>
      </c>
      <c r="N72" s="252">
        <f t="shared" si="17"/>
        <v>9.930173397064209</v>
      </c>
      <c r="W72" s="258">
        <f t="shared" si="18"/>
        <v>11</v>
      </c>
      <c r="X72" s="258">
        <f t="shared" si="19"/>
        <v>8</v>
      </c>
      <c r="Y72" s="258" t="str">
        <f t="shared" si="20"/>
        <v>Dena Demas</v>
      </c>
      <c r="Z72" s="258">
        <f t="shared" si="21"/>
        <v>3</v>
      </c>
      <c r="AA72" s="258" t="str">
        <f t="shared" si="22"/>
        <v>L</v>
      </c>
      <c r="AB72" s="259"/>
      <c r="AC72" s="260">
        <f t="shared" si="23"/>
        <v>3.9369289306921877</v>
      </c>
      <c r="AD72" s="260">
        <f t="shared" si="24"/>
        <v>4.5278250136065932</v>
      </c>
      <c r="AE72" s="260">
        <f t="shared" si="25"/>
        <v>4.4606673987786314</v>
      </c>
      <c r="AF72" s="260">
        <f t="shared" si="26"/>
        <v>12.925421343077414</v>
      </c>
      <c r="AG72"/>
    </row>
    <row r="73" spans="1:36" x14ac:dyDescent="0.25">
      <c r="A73" s="246">
        <v>8</v>
      </c>
      <c r="B73" s="246" t="s">
        <v>110</v>
      </c>
      <c r="C73" s="246">
        <v>1</v>
      </c>
      <c r="D73" s="246" t="s">
        <v>254</v>
      </c>
      <c r="E73" s="246">
        <v>12</v>
      </c>
      <c r="F73" s="246" t="s">
        <v>125</v>
      </c>
      <c r="G73" s="247"/>
      <c r="H73" s="248">
        <v>1.4008598327636719</v>
      </c>
      <c r="I73" s="248">
        <v>4.7719542980194092</v>
      </c>
      <c r="J73" s="248">
        <v>2.5304970741271973</v>
      </c>
      <c r="K73" s="249">
        <f>IF(COUNT(H73:J73)&lt;L$1,0,1)</f>
        <v>1</v>
      </c>
      <c r="L73" s="250">
        <f>COUNTIF(H73:J73,"&gt;"&amp;0)</f>
        <v>3</v>
      </c>
      <c r="M73" s="251">
        <f>L73*K73</f>
        <v>3</v>
      </c>
      <c r="N73" s="252">
        <f t="shared" si="17"/>
        <v>8.7033112049102783</v>
      </c>
      <c r="W73" s="258">
        <f t="shared" si="18"/>
        <v>12</v>
      </c>
      <c r="X73" s="258">
        <f t="shared" si="19"/>
        <v>8</v>
      </c>
      <c r="Y73" s="258" t="str">
        <f t="shared" si="20"/>
        <v>Dena Demas</v>
      </c>
      <c r="Z73" s="258">
        <f t="shared" si="21"/>
        <v>1</v>
      </c>
      <c r="AA73" s="258" t="str">
        <f t="shared" si="22"/>
        <v>M</v>
      </c>
      <c r="AB73" s="259"/>
      <c r="AC73" s="260">
        <f t="shared" si="23"/>
        <v>1.823402558752554</v>
      </c>
      <c r="AD73" s="260">
        <f t="shared" si="24"/>
        <v>6.2113235555428679</v>
      </c>
      <c r="AE73" s="260">
        <f t="shared" si="25"/>
        <v>3.2937733897162813</v>
      </c>
      <c r="AF73" s="260">
        <f t="shared" si="26"/>
        <v>11.328499504011702</v>
      </c>
      <c r="AG73"/>
    </row>
    <row r="74" spans="1:36" x14ac:dyDescent="0.25">
      <c r="A74" s="246">
        <v>8</v>
      </c>
      <c r="B74" s="246" t="s">
        <v>110</v>
      </c>
      <c r="C74" s="246">
        <v>1</v>
      </c>
      <c r="D74" s="246" t="s">
        <v>254</v>
      </c>
      <c r="E74" s="246">
        <v>13</v>
      </c>
      <c r="F74" s="246" t="s">
        <v>129</v>
      </c>
      <c r="G74" s="247"/>
      <c r="H74" s="248">
        <v>2.389390230178833</v>
      </c>
      <c r="I74" s="248">
        <v>1.1591463088989258</v>
      </c>
      <c r="J74" s="248">
        <v>4.5605714321136475</v>
      </c>
      <c r="K74" s="249">
        <f>IF(COUNT(H74:J74)&lt;L$1,0,1)</f>
        <v>1</v>
      </c>
      <c r="L74" s="250">
        <f>COUNTIF(H74:J74,"&gt;"&amp;0)</f>
        <v>3</v>
      </c>
      <c r="M74" s="251">
        <f>L74*K74</f>
        <v>3</v>
      </c>
      <c r="N74" s="252">
        <f t="shared" si="17"/>
        <v>8.1091079711914063</v>
      </c>
      <c r="W74" s="258">
        <f t="shared" si="18"/>
        <v>13</v>
      </c>
      <c r="X74" s="258">
        <f t="shared" si="19"/>
        <v>8</v>
      </c>
      <c r="Y74" s="258" t="str">
        <f t="shared" si="20"/>
        <v>Dena Demas</v>
      </c>
      <c r="Z74" s="258">
        <f t="shared" si="21"/>
        <v>1</v>
      </c>
      <c r="AA74" s="258" t="str">
        <f t="shared" si="22"/>
        <v>M</v>
      </c>
      <c r="AB74" s="259"/>
      <c r="AC74" s="260">
        <f t="shared" si="23"/>
        <v>3.110104349962787</v>
      </c>
      <c r="AD74" s="260">
        <f t="shared" si="24"/>
        <v>1.5087807474964177</v>
      </c>
      <c r="AE74" s="260">
        <f t="shared" si="25"/>
        <v>5.93618106836868</v>
      </c>
      <c r="AF74" s="260">
        <f t="shared" si="26"/>
        <v>10.555066165827885</v>
      </c>
      <c r="AG74"/>
    </row>
    <row r="75" spans="1:36" x14ac:dyDescent="0.25">
      <c r="A75" s="246">
        <v>8</v>
      </c>
      <c r="B75" s="246" t="s">
        <v>110</v>
      </c>
      <c r="C75" s="246">
        <v>3</v>
      </c>
      <c r="D75" s="246" t="s">
        <v>254</v>
      </c>
      <c r="E75" s="246">
        <v>20</v>
      </c>
      <c r="F75" s="246" t="s">
        <v>157</v>
      </c>
      <c r="G75" s="247"/>
      <c r="H75" s="248">
        <v>2.9742159843444824</v>
      </c>
      <c r="I75" s="248">
        <v>2.6295225620269775</v>
      </c>
      <c r="J75" s="248">
        <v>4.7248821258544922</v>
      </c>
      <c r="K75" s="249">
        <f>IF(COUNT(H75:J75)&lt;L$1,0,1)</f>
        <v>1</v>
      </c>
      <c r="L75" s="250">
        <f>COUNTIF(H75:J75,"&gt;"&amp;0)</f>
        <v>3</v>
      </c>
      <c r="M75" s="251">
        <f>L75*K75</f>
        <v>3</v>
      </c>
      <c r="N75" s="252">
        <f t="shared" si="17"/>
        <v>10.328620672225952</v>
      </c>
      <c r="W75" s="258">
        <f t="shared" si="18"/>
        <v>20</v>
      </c>
      <c r="X75" s="258">
        <f t="shared" si="19"/>
        <v>8</v>
      </c>
      <c r="Y75" s="258" t="str">
        <f t="shared" si="20"/>
        <v>Dena Demas</v>
      </c>
      <c r="Z75" s="258">
        <f t="shared" si="21"/>
        <v>3</v>
      </c>
      <c r="AA75" s="258" t="str">
        <f t="shared" si="22"/>
        <v>M</v>
      </c>
      <c r="AB75" s="259"/>
      <c r="AC75" s="260">
        <f t="shared" si="23"/>
        <v>3.8713316702338338</v>
      </c>
      <c r="AD75" s="260">
        <f t="shared" si="24"/>
        <v>3.4226680327027657</v>
      </c>
      <c r="AE75" s="260">
        <f t="shared" si="25"/>
        <v>6.1500529578969791</v>
      </c>
      <c r="AF75" s="260">
        <f t="shared" si="26"/>
        <v>13.444052660833577</v>
      </c>
      <c r="AG75"/>
    </row>
    <row r="76" spans="1:36" x14ac:dyDescent="0.25">
      <c r="A76" s="246">
        <v>8</v>
      </c>
      <c r="B76" s="246" t="s">
        <v>110</v>
      </c>
      <c r="C76" s="246">
        <v>3</v>
      </c>
      <c r="D76" s="246" t="s">
        <v>253</v>
      </c>
      <c r="E76" s="246">
        <v>22</v>
      </c>
      <c r="F76" s="246" t="s">
        <v>165</v>
      </c>
      <c r="G76" s="247"/>
      <c r="H76" s="248">
        <v>2.0049655437469482</v>
      </c>
      <c r="I76" s="248">
        <v>3.2162289619445801</v>
      </c>
      <c r="J76" s="248">
        <v>1.1778976917266846</v>
      </c>
      <c r="K76" s="249">
        <f>IF(COUNT(H76:J76)&lt;L$1,0,1)</f>
        <v>1</v>
      </c>
      <c r="L76" s="250">
        <f>COUNTIF(H76:J76,"&gt;"&amp;0)</f>
        <v>3</v>
      </c>
      <c r="M76" s="251">
        <f>L76*K76</f>
        <v>3</v>
      </c>
      <c r="N76" s="252">
        <f t="shared" si="17"/>
        <v>6.3990921974182129</v>
      </c>
      <c r="W76" s="258">
        <f t="shared" si="18"/>
        <v>22</v>
      </c>
      <c r="X76" s="258">
        <f t="shared" si="19"/>
        <v>8</v>
      </c>
      <c r="Y76" s="258" t="str">
        <f t="shared" si="20"/>
        <v>Dena Demas</v>
      </c>
      <c r="Z76" s="258">
        <f t="shared" si="21"/>
        <v>3</v>
      </c>
      <c r="AA76" s="258" t="str">
        <f t="shared" si="22"/>
        <v>L</v>
      </c>
      <c r="AB76" s="259"/>
      <c r="AC76" s="260">
        <f t="shared" si="23"/>
        <v>2.6097252681351186</v>
      </c>
      <c r="AD76" s="260">
        <f t="shared" si="24"/>
        <v>4.1863432597493633</v>
      </c>
      <c r="AE76" s="260">
        <f t="shared" si="25"/>
        <v>1.5331881283268254</v>
      </c>
      <c r="AF76" s="260">
        <f t="shared" si="26"/>
        <v>8.3292566562113066</v>
      </c>
      <c r="AG76"/>
    </row>
    <row r="77" spans="1:36" x14ac:dyDescent="0.25">
      <c r="A77" s="246">
        <v>9</v>
      </c>
      <c r="B77" s="246" t="s">
        <v>114</v>
      </c>
      <c r="C77" s="246">
        <v>2</v>
      </c>
      <c r="D77" s="246" t="s">
        <v>253</v>
      </c>
      <c r="E77" s="246">
        <v>3</v>
      </c>
      <c r="F77" s="246" t="s">
        <v>89</v>
      </c>
      <c r="G77" s="247"/>
      <c r="H77" s="248">
        <v>4.2565145492553711</v>
      </c>
      <c r="I77" s="248">
        <v>2.8797948360443115</v>
      </c>
      <c r="J77" s="248">
        <v>3.1825613975524902</v>
      </c>
      <c r="K77" s="249">
        <f>IF(COUNT(H77:J77)&lt;L$1,0,1)</f>
        <v>1</v>
      </c>
      <c r="L77" s="250">
        <f>COUNTIF(H77:J77,"&gt;"&amp;0)</f>
        <v>3</v>
      </c>
      <c r="M77" s="251">
        <f>L77*K77</f>
        <v>3</v>
      </c>
      <c r="N77" s="252">
        <f t="shared" si="17"/>
        <v>10.318870782852173</v>
      </c>
      <c r="W77" s="258">
        <f t="shared" si="18"/>
        <v>3</v>
      </c>
      <c r="X77" s="258">
        <f t="shared" si="19"/>
        <v>9</v>
      </c>
      <c r="Y77" s="258" t="str">
        <f t="shared" si="20"/>
        <v>Gerard Cutright</v>
      </c>
      <c r="Z77" s="258">
        <f t="shared" si="21"/>
        <v>2</v>
      </c>
      <c r="AA77" s="258" t="str">
        <f t="shared" si="22"/>
        <v>L</v>
      </c>
      <c r="AB77" s="259"/>
      <c r="AC77" s="260">
        <f t="shared" si="23"/>
        <v>5.3855955335614487</v>
      </c>
      <c r="AD77" s="260">
        <f t="shared" si="24"/>
        <v>3.6436878171335665</v>
      </c>
      <c r="AE77" s="260">
        <f t="shared" si="25"/>
        <v>4.0267660898615327</v>
      </c>
      <c r="AF77" s="260">
        <f t="shared" si="26"/>
        <v>13.056049440556549</v>
      </c>
      <c r="AG77"/>
    </row>
    <row r="78" spans="1:36" x14ac:dyDescent="0.25">
      <c r="A78" s="246">
        <v>9</v>
      </c>
      <c r="B78" s="246" t="s">
        <v>114</v>
      </c>
      <c r="C78" s="246">
        <v>1</v>
      </c>
      <c r="D78" s="246" t="s">
        <v>254</v>
      </c>
      <c r="E78" s="246">
        <v>4</v>
      </c>
      <c r="F78" s="246" t="s">
        <v>93</v>
      </c>
      <c r="G78" s="247"/>
      <c r="H78" s="248">
        <v>2.5064394474029541</v>
      </c>
      <c r="I78" s="248">
        <v>1.5882720947265625</v>
      </c>
      <c r="J78" s="248">
        <v>3.9323737621307373</v>
      </c>
      <c r="K78" s="249">
        <f>IF(COUNT(H78:J78)&lt;L$1,0,1)</f>
        <v>1</v>
      </c>
      <c r="L78" s="250">
        <f>COUNTIF(H78:J78,"&gt;"&amp;0)</f>
        <v>3</v>
      </c>
      <c r="M78" s="251">
        <f>L78*K78</f>
        <v>3</v>
      </c>
      <c r="N78" s="252">
        <f t="shared" si="17"/>
        <v>8.0270853042602539</v>
      </c>
      <c r="W78" s="258">
        <f t="shared" si="18"/>
        <v>4</v>
      </c>
      <c r="X78" s="258">
        <f t="shared" si="19"/>
        <v>9</v>
      </c>
      <c r="Y78" s="258" t="str">
        <f t="shared" si="20"/>
        <v>Gerard Cutright</v>
      </c>
      <c r="Z78" s="258">
        <f t="shared" si="21"/>
        <v>1</v>
      </c>
      <c r="AA78" s="258" t="str">
        <f t="shared" si="22"/>
        <v>M</v>
      </c>
      <c r="AB78" s="259"/>
      <c r="AC78" s="260">
        <f t="shared" si="23"/>
        <v>3.1712963592329353</v>
      </c>
      <c r="AD78" s="260">
        <f t="shared" si="24"/>
        <v>2.009576380030476</v>
      </c>
      <c r="AE78" s="260">
        <f t="shared" si="25"/>
        <v>4.9754733184996187</v>
      </c>
      <c r="AF78" s="260">
        <f t="shared" si="26"/>
        <v>10.156346057763031</v>
      </c>
      <c r="AG78"/>
    </row>
    <row r="79" spans="1:36" x14ac:dyDescent="0.25">
      <c r="A79" s="246">
        <v>9</v>
      </c>
      <c r="B79" s="246" t="s">
        <v>114</v>
      </c>
      <c r="C79" s="246">
        <v>2</v>
      </c>
      <c r="D79" s="246" t="s">
        <v>254</v>
      </c>
      <c r="E79" s="246">
        <v>6</v>
      </c>
      <c r="F79" s="246" t="s">
        <v>101</v>
      </c>
      <c r="G79" s="247"/>
      <c r="H79" s="248">
        <v>1.8812699317932129</v>
      </c>
      <c r="I79" s="248">
        <v>1.8409779071807861</v>
      </c>
      <c r="J79" s="248">
        <v>2.2926645278930664</v>
      </c>
      <c r="K79" s="249">
        <f>IF(COUNT(H79:J79)&lt;L$1,0,1)</f>
        <v>1</v>
      </c>
      <c r="L79" s="250">
        <f>COUNTIF(H79:J79,"&gt;"&amp;0)</f>
        <v>3</v>
      </c>
      <c r="M79" s="251">
        <f>L79*K79</f>
        <v>3</v>
      </c>
      <c r="N79" s="252">
        <f t="shared" si="17"/>
        <v>6.0149123668670654</v>
      </c>
      <c r="W79" s="258">
        <f t="shared" si="18"/>
        <v>6</v>
      </c>
      <c r="X79" s="258">
        <f t="shared" si="19"/>
        <v>9</v>
      </c>
      <c r="Y79" s="258" t="str">
        <f t="shared" si="20"/>
        <v>Gerard Cutright</v>
      </c>
      <c r="Z79" s="258">
        <f t="shared" si="21"/>
        <v>2</v>
      </c>
      <c r="AA79" s="258" t="str">
        <f t="shared" si="22"/>
        <v>M</v>
      </c>
      <c r="AB79" s="259"/>
      <c r="AC79" s="260">
        <f t="shared" si="23"/>
        <v>2.3802946812108079</v>
      </c>
      <c r="AD79" s="260">
        <f t="shared" si="24"/>
        <v>2.3293148136971884</v>
      </c>
      <c r="AE79" s="260">
        <f t="shared" si="25"/>
        <v>2.900815608285821</v>
      </c>
      <c r="AF79" s="260">
        <f t="shared" si="26"/>
        <v>7.6104251031938173</v>
      </c>
      <c r="AG79"/>
    </row>
    <row r="80" spans="1:36" x14ac:dyDescent="0.25">
      <c r="A80" s="246">
        <v>9</v>
      </c>
      <c r="B80" s="246" t="s">
        <v>114</v>
      </c>
      <c r="C80" s="246">
        <v>1</v>
      </c>
      <c r="D80" s="246" t="s">
        <v>254</v>
      </c>
      <c r="E80" s="246">
        <v>7</v>
      </c>
      <c r="F80" s="246" t="s">
        <v>105</v>
      </c>
      <c r="G80" s="247"/>
      <c r="H80" s="248">
        <v>2.6951730251312256</v>
      </c>
      <c r="I80" s="248">
        <v>3.964942455291748</v>
      </c>
      <c r="J80" s="248">
        <v>1.4737493991851807</v>
      </c>
      <c r="K80" s="249">
        <f>IF(COUNT(H80:J80)&lt;L$1,0,1)</f>
        <v>1</v>
      </c>
      <c r="L80" s="250">
        <f>COUNTIF(H80:J80,"&gt;"&amp;0)</f>
        <v>3</v>
      </c>
      <c r="M80" s="251">
        <f>L80*K80</f>
        <v>3</v>
      </c>
      <c r="N80" s="252">
        <f t="shared" si="17"/>
        <v>8.1338648796081543</v>
      </c>
      <c r="W80" s="258">
        <f t="shared" si="18"/>
        <v>7</v>
      </c>
      <c r="X80" s="258">
        <f t="shared" si="19"/>
        <v>9</v>
      </c>
      <c r="Y80" s="258" t="str">
        <f t="shared" si="20"/>
        <v>Gerard Cutright</v>
      </c>
      <c r="Z80" s="258">
        <f t="shared" si="21"/>
        <v>1</v>
      </c>
      <c r="AA80" s="258" t="str">
        <f t="shared" si="22"/>
        <v>M</v>
      </c>
      <c r="AB80" s="259"/>
      <c r="AC80" s="260">
        <f t="shared" si="23"/>
        <v>3.4100933142261387</v>
      </c>
      <c r="AD80" s="260">
        <f t="shared" si="24"/>
        <v>5.0166811674079606</v>
      </c>
      <c r="AE80" s="260">
        <f t="shared" si="25"/>
        <v>1.8646754498299716</v>
      </c>
      <c r="AF80" s="260">
        <f t="shared" si="26"/>
        <v>10.291449931464072</v>
      </c>
      <c r="AG80"/>
    </row>
    <row r="81" spans="1:33" x14ac:dyDescent="0.25">
      <c r="A81" s="246">
        <v>9</v>
      </c>
      <c r="B81" s="246" t="s">
        <v>114</v>
      </c>
      <c r="C81" s="246">
        <v>1</v>
      </c>
      <c r="D81" s="246" t="s">
        <v>253</v>
      </c>
      <c r="E81" s="246">
        <v>10</v>
      </c>
      <c r="F81" s="246" t="s">
        <v>117</v>
      </c>
      <c r="G81" s="247"/>
      <c r="H81" s="248">
        <v>2.7429828643798828</v>
      </c>
      <c r="I81" s="248">
        <v>4.2983195781707764</v>
      </c>
      <c r="J81" s="248">
        <v>3.2931981086730957</v>
      </c>
      <c r="K81" s="249">
        <f>IF(COUNT(H81:J81)&lt;L$1,0,1)</f>
        <v>1</v>
      </c>
      <c r="L81" s="250">
        <f>COUNTIF(H81:J81,"&gt;"&amp;0)</f>
        <v>3</v>
      </c>
      <c r="M81" s="251">
        <f>L81*K81</f>
        <v>3</v>
      </c>
      <c r="N81" s="252">
        <f t="shared" si="17"/>
        <v>10.334500551223755</v>
      </c>
      <c r="W81" s="258">
        <f t="shared" si="18"/>
        <v>10</v>
      </c>
      <c r="X81" s="258">
        <f t="shared" si="19"/>
        <v>9</v>
      </c>
      <c r="Y81" s="258" t="str">
        <f t="shared" si="20"/>
        <v>Gerard Cutright</v>
      </c>
      <c r="Z81" s="258">
        <f t="shared" si="21"/>
        <v>1</v>
      </c>
      <c r="AA81" s="258" t="str">
        <f t="shared" si="22"/>
        <v>L</v>
      </c>
      <c r="AB81" s="259"/>
      <c r="AC81" s="260">
        <f t="shared" si="23"/>
        <v>3.4705851682391606</v>
      </c>
      <c r="AD81" s="260">
        <f t="shared" si="24"/>
        <v>5.4384897441654276</v>
      </c>
      <c r="AE81" s="260">
        <f t="shared" si="25"/>
        <v>4.1667502412990736</v>
      </c>
      <c r="AF81" s="260">
        <f t="shared" si="26"/>
        <v>13.075825153703661</v>
      </c>
      <c r="AG81"/>
    </row>
    <row r="82" spans="1:33" x14ac:dyDescent="0.25">
      <c r="A82" s="246">
        <v>9</v>
      </c>
      <c r="B82" s="246" t="s">
        <v>114</v>
      </c>
      <c r="C82" s="246">
        <v>2</v>
      </c>
      <c r="D82" s="246" t="s">
        <v>253</v>
      </c>
      <c r="E82" s="246">
        <v>11</v>
      </c>
      <c r="F82" s="246" t="s">
        <v>121</v>
      </c>
      <c r="G82" s="247"/>
      <c r="H82" s="248">
        <v>4.0758965015411377</v>
      </c>
      <c r="I82" s="248">
        <v>2.1757993698120117</v>
      </c>
      <c r="J82" s="248">
        <v>1.2820966243743896</v>
      </c>
      <c r="K82" s="249">
        <f>IF(COUNT(H82:J82)&lt;L$1,0,1)</f>
        <v>1</v>
      </c>
      <c r="L82" s="250">
        <f>COUNTIF(H82:J82,"&gt;"&amp;0)</f>
        <v>3</v>
      </c>
      <c r="M82" s="251">
        <f>L82*K82</f>
        <v>3</v>
      </c>
      <c r="N82" s="252">
        <f t="shared" si="17"/>
        <v>7.5337924957275391</v>
      </c>
      <c r="W82" s="258">
        <f t="shared" si="18"/>
        <v>11</v>
      </c>
      <c r="X82" s="258">
        <f t="shared" si="19"/>
        <v>9</v>
      </c>
      <c r="Y82" s="258" t="str">
        <f t="shared" si="20"/>
        <v>Gerard Cutright</v>
      </c>
      <c r="Z82" s="258">
        <f t="shared" si="21"/>
        <v>2</v>
      </c>
      <c r="AA82" s="258" t="str">
        <f t="shared" si="22"/>
        <v>L</v>
      </c>
      <c r="AB82" s="259"/>
      <c r="AC82" s="260">
        <f t="shared" si="23"/>
        <v>5.1570668301365936</v>
      </c>
      <c r="AD82" s="260">
        <f t="shared" si="24"/>
        <v>2.7529508550688058</v>
      </c>
      <c r="AE82" s="260">
        <f t="shared" si="25"/>
        <v>1.6221849529523751</v>
      </c>
      <c r="AF82" s="260">
        <f t="shared" si="26"/>
        <v>9.5322026381577754</v>
      </c>
      <c r="AG82"/>
    </row>
    <row r="83" spans="1:33" x14ac:dyDescent="0.25">
      <c r="A83" s="246">
        <v>9</v>
      </c>
      <c r="B83" s="246" t="s">
        <v>114</v>
      </c>
      <c r="C83" s="246">
        <v>2</v>
      </c>
      <c r="D83" s="246" t="s">
        <v>254</v>
      </c>
      <c r="E83" s="246">
        <v>16</v>
      </c>
      <c r="F83" s="246" t="s">
        <v>141</v>
      </c>
      <c r="G83" s="247"/>
      <c r="H83" s="248">
        <v>3.4951872825622559</v>
      </c>
      <c r="I83" s="248">
        <v>3.0099680423736572</v>
      </c>
      <c r="J83" s="248">
        <v>3.7534675598144531</v>
      </c>
      <c r="K83" s="249">
        <f>IF(COUNT(H83:J83)&lt;L$1,0,1)</f>
        <v>1</v>
      </c>
      <c r="L83" s="250">
        <f>COUNTIF(H83:J83,"&gt;"&amp;0)</f>
        <v>3</v>
      </c>
      <c r="M83" s="251">
        <f>L83*K83</f>
        <v>3</v>
      </c>
      <c r="N83" s="252">
        <f t="shared" si="17"/>
        <v>10.258622884750366</v>
      </c>
      <c r="W83" s="258">
        <f t="shared" si="18"/>
        <v>16</v>
      </c>
      <c r="X83" s="258">
        <f t="shared" si="19"/>
        <v>9</v>
      </c>
      <c r="Y83" s="258" t="str">
        <f t="shared" si="20"/>
        <v>Gerard Cutright</v>
      </c>
      <c r="Z83" s="258">
        <f t="shared" si="21"/>
        <v>2</v>
      </c>
      <c r="AA83" s="258" t="str">
        <f t="shared" si="22"/>
        <v>M</v>
      </c>
      <c r="AB83" s="259"/>
      <c r="AC83" s="260">
        <f t="shared" si="23"/>
        <v>4.4223189654599091</v>
      </c>
      <c r="AD83" s="260">
        <f t="shared" si="24"/>
        <v>3.8083907050208734</v>
      </c>
      <c r="AE83" s="260">
        <f t="shared" si="25"/>
        <v>4.7491105437524785</v>
      </c>
      <c r="AF83" s="260">
        <f t="shared" si="26"/>
        <v>12.979820214233261</v>
      </c>
      <c r="AG83"/>
    </row>
    <row r="84" spans="1:33" x14ac:dyDescent="0.25">
      <c r="A84" s="246">
        <v>9</v>
      </c>
      <c r="B84" s="246" t="s">
        <v>114</v>
      </c>
      <c r="C84" s="246">
        <v>2</v>
      </c>
      <c r="D84" s="246" t="s">
        <v>254</v>
      </c>
      <c r="E84" s="246">
        <v>18</v>
      </c>
      <c r="F84" s="246" t="s">
        <v>149</v>
      </c>
      <c r="G84" s="247"/>
      <c r="H84" s="248">
        <v>2.4094436168670654</v>
      </c>
      <c r="I84" s="248">
        <v>3.5320916175842285</v>
      </c>
      <c r="J84" s="248">
        <v>1.6424190998077393</v>
      </c>
      <c r="K84" s="249">
        <f>IF(COUNT(H84:J84)&lt;L$1,0,1)</f>
        <v>1</v>
      </c>
      <c r="L84" s="250">
        <f>COUNTIF(H84:J84,"&gt;"&amp;0)</f>
        <v>3</v>
      </c>
      <c r="M84" s="251">
        <f>L84*K84</f>
        <v>3</v>
      </c>
      <c r="N84" s="252">
        <f t="shared" si="17"/>
        <v>7.5839543342590332</v>
      </c>
      <c r="W84" s="258">
        <f t="shared" si="18"/>
        <v>18</v>
      </c>
      <c r="X84" s="258">
        <f t="shared" si="19"/>
        <v>9</v>
      </c>
      <c r="Y84" s="258" t="str">
        <f t="shared" si="20"/>
        <v>Gerard Cutright</v>
      </c>
      <c r="Z84" s="258">
        <f t="shared" si="21"/>
        <v>2</v>
      </c>
      <c r="AA84" s="258" t="str">
        <f t="shared" si="22"/>
        <v>M</v>
      </c>
      <c r="AB84" s="259"/>
      <c r="AC84" s="260">
        <f t="shared" si="23"/>
        <v>3.0485714617461994</v>
      </c>
      <c r="AD84" s="260">
        <f t="shared" si="24"/>
        <v>4.4690125264858338</v>
      </c>
      <c r="AE84" s="260">
        <f t="shared" si="25"/>
        <v>2.0780863934103033</v>
      </c>
      <c r="AF84" s="260">
        <f t="shared" si="26"/>
        <v>9.5956703816423357</v>
      </c>
      <c r="AG84"/>
    </row>
    <row r="85" spans="1:33" x14ac:dyDescent="0.25">
      <c r="A85" s="246">
        <v>9</v>
      </c>
      <c r="B85" s="246" t="s">
        <v>114</v>
      </c>
      <c r="C85" s="246">
        <v>2</v>
      </c>
      <c r="D85" s="246" t="s">
        <v>254</v>
      </c>
      <c r="E85" s="246">
        <v>21</v>
      </c>
      <c r="F85" s="246" t="s">
        <v>161</v>
      </c>
      <c r="G85" s="247"/>
      <c r="H85" s="248">
        <v>4.626622200012207</v>
      </c>
      <c r="I85" s="248">
        <v>2.4784562587738037</v>
      </c>
      <c r="J85" s="248">
        <v>4.2596240043640137</v>
      </c>
      <c r="K85" s="249">
        <f>IF(COUNT(H85:J85)&lt;L$1,0,1)</f>
        <v>1</v>
      </c>
      <c r="L85" s="250">
        <f>COUNTIF(H85:J85,"&gt;"&amp;0)</f>
        <v>3</v>
      </c>
      <c r="M85" s="251">
        <f>L85*K85</f>
        <v>3</v>
      </c>
      <c r="N85" s="252">
        <f t="shared" si="17"/>
        <v>11.364702463150024</v>
      </c>
      <c r="W85" s="258">
        <f t="shared" si="18"/>
        <v>21</v>
      </c>
      <c r="X85" s="258">
        <f t="shared" si="19"/>
        <v>9</v>
      </c>
      <c r="Y85" s="258" t="str">
        <f t="shared" si="20"/>
        <v>Gerard Cutright</v>
      </c>
      <c r="Z85" s="258">
        <f t="shared" si="21"/>
        <v>2</v>
      </c>
      <c r="AA85" s="258" t="str">
        <f t="shared" si="22"/>
        <v>M</v>
      </c>
      <c r="AB85" s="259"/>
      <c r="AC85" s="260">
        <f t="shared" si="23"/>
        <v>5.8538777602019367</v>
      </c>
      <c r="AD85" s="260">
        <f t="shared" si="24"/>
        <v>3.1358903635639379</v>
      </c>
      <c r="AE85" s="260">
        <f t="shared" si="25"/>
        <v>5.3895298012236719</v>
      </c>
      <c r="AF85" s="260">
        <f t="shared" si="26"/>
        <v>14.379297924989546</v>
      </c>
      <c r="AG85"/>
    </row>
    <row r="86" spans="1:33" x14ac:dyDescent="0.25">
      <c r="A86" s="246">
        <v>9</v>
      </c>
      <c r="B86" s="246" t="s">
        <v>114</v>
      </c>
      <c r="C86" s="246">
        <v>1</v>
      </c>
      <c r="D86" s="246" t="s">
        <v>254</v>
      </c>
      <c r="E86" s="246">
        <v>22</v>
      </c>
      <c r="F86" s="246" t="s">
        <v>165</v>
      </c>
      <c r="G86" s="247"/>
      <c r="H86" s="248">
        <v>1.6561110019683838</v>
      </c>
      <c r="I86" s="248">
        <v>2.9966793060302734</v>
      </c>
      <c r="J86" s="248">
        <v>1.1348865032196045</v>
      </c>
      <c r="K86" s="249">
        <f>IF(COUNT(H86:J86)&lt;L$1,0,1)</f>
        <v>1</v>
      </c>
      <c r="L86" s="250">
        <f>COUNTIF(H86:J86,"&gt;"&amp;0)</f>
        <v>3</v>
      </c>
      <c r="M86" s="251">
        <f>L86*K86</f>
        <v>3</v>
      </c>
      <c r="N86" s="252">
        <f t="shared" si="17"/>
        <v>5.7876768112182617</v>
      </c>
      <c r="W86" s="258">
        <f t="shared" si="18"/>
        <v>22</v>
      </c>
      <c r="X86" s="258">
        <f t="shared" si="19"/>
        <v>9</v>
      </c>
      <c r="Y86" s="258" t="str">
        <f t="shared" si="20"/>
        <v>Gerard Cutright</v>
      </c>
      <c r="Z86" s="258">
        <f t="shared" si="21"/>
        <v>1</v>
      </c>
      <c r="AA86" s="258" t="str">
        <f t="shared" si="22"/>
        <v>M</v>
      </c>
      <c r="AB86" s="259"/>
      <c r="AC86" s="260">
        <f t="shared" si="23"/>
        <v>2.0954102028955139</v>
      </c>
      <c r="AD86" s="260">
        <f t="shared" si="24"/>
        <v>3.7915770049220159</v>
      </c>
      <c r="AE86" s="260">
        <f t="shared" si="25"/>
        <v>1.4359259464784175</v>
      </c>
      <c r="AF86" s="260">
        <f t="shared" si="26"/>
        <v>7.3229131542959474</v>
      </c>
      <c r="AG86"/>
    </row>
    <row r="87" spans="1:33" x14ac:dyDescent="0.25">
      <c r="A87" s="246">
        <v>10</v>
      </c>
      <c r="B87" s="246" t="s">
        <v>118</v>
      </c>
      <c r="C87" s="246">
        <v>2</v>
      </c>
      <c r="D87" s="246" t="s">
        <v>254</v>
      </c>
      <c r="E87" s="246">
        <v>2</v>
      </c>
      <c r="F87" s="246" t="s">
        <v>85</v>
      </c>
      <c r="G87" s="247"/>
      <c r="H87" s="248">
        <v>3.9905285835266113</v>
      </c>
      <c r="I87" s="248">
        <v>4.3628113269805908</v>
      </c>
      <c r="J87" s="248">
        <v>2.1783361434936523</v>
      </c>
      <c r="K87" s="249">
        <f>IF(COUNT(H87:J87)&lt;L$1,0,1)</f>
        <v>1</v>
      </c>
      <c r="L87" s="250">
        <f>COUNTIF(H87:J87,"&gt;"&amp;0)</f>
        <v>3</v>
      </c>
      <c r="M87" s="251">
        <f>L87*K87</f>
        <v>3</v>
      </c>
      <c r="N87" s="252">
        <f t="shared" si="17"/>
        <v>10.531676054000854</v>
      </c>
      <c r="W87" s="258">
        <f t="shared" si="18"/>
        <v>2</v>
      </c>
      <c r="X87" s="258">
        <f t="shared" si="19"/>
        <v>10</v>
      </c>
      <c r="Y87" s="258" t="str">
        <f t="shared" si="20"/>
        <v>Rueben Dagenhart</v>
      </c>
      <c r="Z87" s="258">
        <f t="shared" si="21"/>
        <v>2</v>
      </c>
      <c r="AA87" s="258" t="str">
        <f t="shared" si="22"/>
        <v>M</v>
      </c>
      <c r="AB87" s="259"/>
      <c r="AC87" s="260">
        <f t="shared" si="23"/>
        <v>4.7279533889977854</v>
      </c>
      <c r="AD87" s="260">
        <f t="shared" si="24"/>
        <v>5.169031662649223</v>
      </c>
      <c r="AE87" s="260">
        <f t="shared" si="25"/>
        <v>2.5808790831678299</v>
      </c>
      <c r="AF87" s="260">
        <f t="shared" si="26"/>
        <v>12.477864134814837</v>
      </c>
      <c r="AG87"/>
    </row>
    <row r="88" spans="1:33" x14ac:dyDescent="0.25">
      <c r="A88" s="246">
        <v>10</v>
      </c>
      <c r="B88" s="246" t="s">
        <v>118</v>
      </c>
      <c r="C88" s="246">
        <v>1</v>
      </c>
      <c r="D88" s="246" t="s">
        <v>253</v>
      </c>
      <c r="E88" s="246">
        <v>3</v>
      </c>
      <c r="F88" s="246" t="s">
        <v>89</v>
      </c>
      <c r="G88" s="247"/>
      <c r="H88" s="248">
        <v>2.6846425533294678</v>
      </c>
      <c r="I88" s="248">
        <v>3.0570807456970215</v>
      </c>
      <c r="J88" s="248">
        <v>1.0156939029693604</v>
      </c>
      <c r="K88" s="249">
        <f>IF(COUNT(H88:J88)&lt;L$1,0,1)</f>
        <v>1</v>
      </c>
      <c r="L88" s="250">
        <f>COUNTIF(H88:J88,"&gt;"&amp;0)</f>
        <v>3</v>
      </c>
      <c r="M88" s="251">
        <f>L88*K88</f>
        <v>3</v>
      </c>
      <c r="N88" s="252">
        <f t="shared" si="17"/>
        <v>6.7574172019958496</v>
      </c>
      <c r="W88" s="258">
        <f t="shared" si="18"/>
        <v>3</v>
      </c>
      <c r="X88" s="258">
        <f t="shared" si="19"/>
        <v>10</v>
      </c>
      <c r="Y88" s="258" t="str">
        <f t="shared" si="20"/>
        <v>Rueben Dagenhart</v>
      </c>
      <c r="Z88" s="258">
        <f t="shared" si="21"/>
        <v>1</v>
      </c>
      <c r="AA88" s="258" t="str">
        <f t="shared" si="22"/>
        <v>L</v>
      </c>
      <c r="AB88" s="259"/>
      <c r="AC88" s="260">
        <f t="shared" si="23"/>
        <v>3.1807477612513333</v>
      </c>
      <c r="AD88" s="260">
        <f t="shared" si="24"/>
        <v>3.622010209806513</v>
      </c>
      <c r="AE88" s="260">
        <f t="shared" si="25"/>
        <v>1.2033878044508313</v>
      </c>
      <c r="AF88" s="260">
        <f t="shared" si="26"/>
        <v>8.0061457755086778</v>
      </c>
      <c r="AG88"/>
    </row>
    <row r="89" spans="1:33" x14ac:dyDescent="0.25">
      <c r="A89" s="246">
        <v>10</v>
      </c>
      <c r="B89" s="246" t="s">
        <v>118</v>
      </c>
      <c r="C89" s="246">
        <v>2</v>
      </c>
      <c r="D89" s="246" t="s">
        <v>254</v>
      </c>
      <c r="E89" s="246">
        <v>5</v>
      </c>
      <c r="F89" s="246" t="s">
        <v>97</v>
      </c>
      <c r="G89" s="247"/>
      <c r="H89" s="248">
        <v>3.6620712280273438</v>
      </c>
      <c r="I89" s="248">
        <v>4.9062888622283936</v>
      </c>
      <c r="J89" s="248">
        <v>1.3735871315002441</v>
      </c>
      <c r="K89" s="249">
        <f>IF(COUNT(H89:J89)&lt;L$1,0,1)</f>
        <v>1</v>
      </c>
      <c r="L89" s="250">
        <f>COUNTIF(H89:J89,"&gt;"&amp;0)</f>
        <v>3</v>
      </c>
      <c r="M89" s="251">
        <f>L89*K89</f>
        <v>3</v>
      </c>
      <c r="N89" s="252">
        <f t="shared" si="17"/>
        <v>9.9419472217559814</v>
      </c>
      <c r="W89" s="258">
        <f t="shared" si="18"/>
        <v>5</v>
      </c>
      <c r="X89" s="258">
        <f t="shared" si="19"/>
        <v>10</v>
      </c>
      <c r="Y89" s="258" t="str">
        <f t="shared" si="20"/>
        <v>Rueben Dagenhart</v>
      </c>
      <c r="Z89" s="258">
        <f t="shared" si="21"/>
        <v>2</v>
      </c>
      <c r="AA89" s="258" t="str">
        <f t="shared" si="22"/>
        <v>M</v>
      </c>
      <c r="AB89" s="259"/>
      <c r="AC89" s="260">
        <f t="shared" si="23"/>
        <v>4.3387991617897148</v>
      </c>
      <c r="AD89" s="260">
        <f t="shared" si="24"/>
        <v>5.8129404583978292</v>
      </c>
      <c r="AE89" s="260">
        <f t="shared" si="25"/>
        <v>1.627417470524934</v>
      </c>
      <c r="AF89" s="260">
        <f t="shared" si="26"/>
        <v>11.779157090712479</v>
      </c>
      <c r="AG89"/>
    </row>
    <row r="90" spans="1:33" x14ac:dyDescent="0.25">
      <c r="A90" s="246">
        <v>10</v>
      </c>
      <c r="B90" s="246" t="s">
        <v>118</v>
      </c>
      <c r="C90" s="246">
        <v>2</v>
      </c>
      <c r="D90" s="246" t="s">
        <v>254</v>
      </c>
      <c r="E90" s="246">
        <v>8</v>
      </c>
      <c r="F90" s="246" t="s">
        <v>109</v>
      </c>
      <c r="G90" s="247"/>
      <c r="H90" s="248">
        <v>4.1218388080596924</v>
      </c>
      <c r="I90" s="248">
        <v>1.1766443252563477</v>
      </c>
      <c r="J90" s="248">
        <v>4.8635461330413818</v>
      </c>
      <c r="K90" s="249">
        <f>IF(COUNT(H90:J90)&lt;L$1,0,1)</f>
        <v>1</v>
      </c>
      <c r="L90" s="250">
        <f>COUNTIF(H90:J90,"&gt;"&amp;0)</f>
        <v>3</v>
      </c>
      <c r="M90" s="251">
        <f>L90*K90</f>
        <v>3</v>
      </c>
      <c r="N90" s="252">
        <f t="shared" si="17"/>
        <v>10.162029266357422</v>
      </c>
      <c r="W90" s="258">
        <f t="shared" si="18"/>
        <v>8</v>
      </c>
      <c r="X90" s="258">
        <f t="shared" si="19"/>
        <v>10</v>
      </c>
      <c r="Y90" s="258" t="str">
        <f t="shared" si="20"/>
        <v>Rueben Dagenhart</v>
      </c>
      <c r="Z90" s="258">
        <f t="shared" si="21"/>
        <v>2</v>
      </c>
      <c r="AA90" s="258" t="str">
        <f t="shared" si="22"/>
        <v>M</v>
      </c>
      <c r="AB90" s="259"/>
      <c r="AC90" s="260">
        <f t="shared" si="23"/>
        <v>4.8835289244429134</v>
      </c>
      <c r="AD90" s="260">
        <f t="shared" si="24"/>
        <v>1.3940808614192106</v>
      </c>
      <c r="AE90" s="260">
        <f t="shared" si="25"/>
        <v>5.762299139313189</v>
      </c>
      <c r="AF90" s="260">
        <f t="shared" si="26"/>
        <v>12.039908925175313</v>
      </c>
      <c r="AG90"/>
    </row>
    <row r="91" spans="1:33" x14ac:dyDescent="0.25">
      <c r="A91" s="246">
        <v>10</v>
      </c>
      <c r="B91" s="246" t="s">
        <v>118</v>
      </c>
      <c r="C91" s="246">
        <v>1</v>
      </c>
      <c r="D91" s="246" t="s">
        <v>253</v>
      </c>
      <c r="E91" s="246">
        <v>11</v>
      </c>
      <c r="F91" s="246" t="s">
        <v>121</v>
      </c>
      <c r="G91" s="247"/>
      <c r="H91" s="248">
        <v>4.9988856315612793</v>
      </c>
      <c r="I91" s="248">
        <v>3.7547323703765869</v>
      </c>
      <c r="J91" s="248">
        <v>3.7515964508056641</v>
      </c>
      <c r="K91" s="249">
        <f>IF(COUNT(H91:J91)&lt;L$1,0,1)</f>
        <v>1</v>
      </c>
      <c r="L91" s="250">
        <f>COUNTIF(H91:J91,"&gt;"&amp;0)</f>
        <v>3</v>
      </c>
      <c r="M91" s="251">
        <f>L91*K91</f>
        <v>3</v>
      </c>
      <c r="N91" s="252">
        <f t="shared" si="17"/>
        <v>12.50521445274353</v>
      </c>
      <c r="W91" s="258">
        <f t="shared" si="18"/>
        <v>11</v>
      </c>
      <c r="X91" s="258">
        <f t="shared" si="19"/>
        <v>10</v>
      </c>
      <c r="Y91" s="258" t="str">
        <f t="shared" si="20"/>
        <v>Rueben Dagenhart</v>
      </c>
      <c r="Z91" s="258">
        <f t="shared" si="21"/>
        <v>1</v>
      </c>
      <c r="AA91" s="258" t="str">
        <f t="shared" si="22"/>
        <v>L</v>
      </c>
      <c r="AB91" s="259"/>
      <c r="AC91" s="260">
        <f t="shared" si="23"/>
        <v>5.9226485334595962</v>
      </c>
      <c r="AD91" s="260">
        <f t="shared" si="24"/>
        <v>4.4485835055999638</v>
      </c>
      <c r="AE91" s="260">
        <f t="shared" si="25"/>
        <v>4.444868087641507</v>
      </c>
      <c r="AF91" s="260">
        <f t="shared" si="26"/>
        <v>14.816100126701066</v>
      </c>
      <c r="AG91"/>
    </row>
    <row r="92" spans="1:33" x14ac:dyDescent="0.25">
      <c r="A92" s="246">
        <v>10</v>
      </c>
      <c r="B92" s="246" t="s">
        <v>118</v>
      </c>
      <c r="C92" s="246">
        <v>2</v>
      </c>
      <c r="D92" s="246" t="s">
        <v>254</v>
      </c>
      <c r="E92" s="246">
        <v>13</v>
      </c>
      <c r="F92" s="246" t="s">
        <v>129</v>
      </c>
      <c r="G92" s="247"/>
      <c r="H92" s="248">
        <v>1.7177913188934326</v>
      </c>
      <c r="I92" s="248">
        <v>1.698845386505127</v>
      </c>
      <c r="J92" s="248">
        <v>4.8667671680450439</v>
      </c>
      <c r="K92" s="249">
        <f>IF(COUNT(H92:J92)&lt;L$1,0,1)</f>
        <v>1</v>
      </c>
      <c r="L92" s="250">
        <f>COUNTIF(H92:J92,"&gt;"&amp;0)</f>
        <v>3</v>
      </c>
      <c r="M92" s="251">
        <f>L92*K92</f>
        <v>3</v>
      </c>
      <c r="N92" s="252">
        <f t="shared" si="17"/>
        <v>8.2834038734436035</v>
      </c>
      <c r="W92" s="258">
        <f t="shared" si="18"/>
        <v>13</v>
      </c>
      <c r="X92" s="258">
        <f t="shared" si="19"/>
        <v>10</v>
      </c>
      <c r="Y92" s="258" t="str">
        <f t="shared" si="20"/>
        <v>Rueben Dagenhart</v>
      </c>
      <c r="Z92" s="258">
        <f t="shared" si="21"/>
        <v>2</v>
      </c>
      <c r="AA92" s="258" t="str">
        <f t="shared" si="22"/>
        <v>M</v>
      </c>
      <c r="AB92" s="259"/>
      <c r="AC92" s="260">
        <f t="shared" si="23"/>
        <v>2.0352284459959238</v>
      </c>
      <c r="AD92" s="260">
        <f t="shared" si="24"/>
        <v>2.0127814234102965</v>
      </c>
      <c r="AE92" s="260">
        <f t="shared" si="25"/>
        <v>5.7661154015057496</v>
      </c>
      <c r="AF92" s="260">
        <f t="shared" si="26"/>
        <v>9.8141252709119691</v>
      </c>
      <c r="AG92"/>
    </row>
    <row r="93" spans="1:33" x14ac:dyDescent="0.25">
      <c r="A93" s="246">
        <v>10</v>
      </c>
      <c r="B93" s="246" t="s">
        <v>118</v>
      </c>
      <c r="C93" s="246">
        <v>1</v>
      </c>
      <c r="D93" s="246" t="s">
        <v>254</v>
      </c>
      <c r="E93" s="246">
        <v>14</v>
      </c>
      <c r="F93" s="246" t="s">
        <v>133</v>
      </c>
      <c r="G93" s="247"/>
      <c r="H93" s="248">
        <v>3.779749870300293</v>
      </c>
      <c r="I93" s="248">
        <v>4.5405576229095459</v>
      </c>
      <c r="J93" s="248">
        <v>1.5088667869567871</v>
      </c>
      <c r="K93" s="249">
        <f>IF(COUNT(H93:J93)&lt;L$1,0,1)</f>
        <v>1</v>
      </c>
      <c r="L93" s="250">
        <f>COUNTIF(H93:J93,"&gt;"&amp;0)</f>
        <v>3</v>
      </c>
      <c r="M93" s="251">
        <f>L93*K93</f>
        <v>3</v>
      </c>
      <c r="N93" s="252">
        <f t="shared" si="17"/>
        <v>9.829174280166626</v>
      </c>
      <c r="W93" s="258">
        <f t="shared" si="18"/>
        <v>14</v>
      </c>
      <c r="X93" s="258">
        <f t="shared" si="19"/>
        <v>10</v>
      </c>
      <c r="Y93" s="258" t="str">
        <f t="shared" si="20"/>
        <v>Rueben Dagenhart</v>
      </c>
      <c r="Z93" s="258">
        <f t="shared" si="21"/>
        <v>1</v>
      </c>
      <c r="AA93" s="258" t="str">
        <f t="shared" si="22"/>
        <v>M</v>
      </c>
      <c r="AB93" s="259"/>
      <c r="AC93" s="260">
        <f t="shared" si="23"/>
        <v>4.4782240835516713</v>
      </c>
      <c r="AD93" s="260">
        <f t="shared" si="24"/>
        <v>5.3796243660039318</v>
      </c>
      <c r="AE93" s="260">
        <f t="shared" si="25"/>
        <v>1.787695962982937</v>
      </c>
      <c r="AF93" s="260">
        <f t="shared" si="26"/>
        <v>11.645544412538541</v>
      </c>
      <c r="AG93"/>
    </row>
    <row r="94" spans="1:33" x14ac:dyDescent="0.25">
      <c r="A94" s="246">
        <v>10</v>
      </c>
      <c r="B94" s="246" t="s">
        <v>118</v>
      </c>
      <c r="C94" s="246">
        <v>1</v>
      </c>
      <c r="D94" s="246" t="s">
        <v>254</v>
      </c>
      <c r="E94" s="246">
        <v>16</v>
      </c>
      <c r="F94" s="246" t="s">
        <v>141</v>
      </c>
      <c r="G94" s="247"/>
      <c r="H94" s="248">
        <v>1.6017420291900635</v>
      </c>
      <c r="I94" s="248">
        <v>2.0797080993652344</v>
      </c>
      <c r="J94" s="248">
        <v>1.1260344982147217</v>
      </c>
      <c r="K94" s="249">
        <f>IF(COUNT(H94:J94)&lt;L$1,0,1)</f>
        <v>1</v>
      </c>
      <c r="L94" s="250">
        <f>COUNTIF(H94:J94,"&gt;"&amp;0)</f>
        <v>3</v>
      </c>
      <c r="M94" s="251">
        <f>L94*K94</f>
        <v>3</v>
      </c>
      <c r="N94" s="252">
        <f t="shared" si="17"/>
        <v>4.8074846267700195</v>
      </c>
      <c r="W94" s="258">
        <f t="shared" si="18"/>
        <v>16</v>
      </c>
      <c r="X94" s="258">
        <f t="shared" si="19"/>
        <v>10</v>
      </c>
      <c r="Y94" s="258" t="str">
        <f t="shared" si="20"/>
        <v>Rueben Dagenhart</v>
      </c>
      <c r="Z94" s="258">
        <f t="shared" si="21"/>
        <v>1</v>
      </c>
      <c r="AA94" s="258" t="str">
        <f t="shared" si="22"/>
        <v>M</v>
      </c>
      <c r="AB94" s="259"/>
      <c r="AC94" s="260">
        <f t="shared" si="23"/>
        <v>1.8977339710010996</v>
      </c>
      <c r="AD94" s="260">
        <f t="shared" si="24"/>
        <v>2.4640251913269955</v>
      </c>
      <c r="AE94" s="260">
        <f t="shared" si="25"/>
        <v>1.3341186538395362</v>
      </c>
      <c r="AF94" s="260">
        <f t="shared" si="26"/>
        <v>5.6958778161676316</v>
      </c>
      <c r="AG94"/>
    </row>
    <row r="95" spans="1:33" x14ac:dyDescent="0.25">
      <c r="A95" s="246">
        <v>10</v>
      </c>
      <c r="B95" s="246" t="s">
        <v>118</v>
      </c>
      <c r="C95" s="246">
        <v>3</v>
      </c>
      <c r="D95" s="246" t="s">
        <v>253</v>
      </c>
      <c r="E95" s="246">
        <v>18</v>
      </c>
      <c r="F95" s="246" t="s">
        <v>149</v>
      </c>
      <c r="G95" s="247"/>
      <c r="H95" s="248">
        <v>2.2963814735412598</v>
      </c>
      <c r="I95" s="248">
        <v>4.6073620319366455</v>
      </c>
      <c r="J95" s="248">
        <v>1.9583559036254883</v>
      </c>
      <c r="K95" s="249">
        <f>IF(COUNT(H95:J95)&lt;L$1,0,1)</f>
        <v>1</v>
      </c>
      <c r="L95" s="250">
        <f>COUNTIF(H95:J95,"&gt;"&amp;0)</f>
        <v>3</v>
      </c>
      <c r="M95" s="251">
        <f>L95*K95</f>
        <v>3</v>
      </c>
      <c r="N95" s="252">
        <f t="shared" si="17"/>
        <v>8.8620994091033936</v>
      </c>
      <c r="W95" s="258">
        <f t="shared" si="18"/>
        <v>18</v>
      </c>
      <c r="X95" s="258">
        <f t="shared" si="19"/>
        <v>10</v>
      </c>
      <c r="Y95" s="258" t="str">
        <f t="shared" si="20"/>
        <v>Rueben Dagenhart</v>
      </c>
      <c r="Z95" s="258">
        <f t="shared" si="21"/>
        <v>3</v>
      </c>
      <c r="AA95" s="258" t="str">
        <f t="shared" si="22"/>
        <v>L</v>
      </c>
      <c r="AB95" s="259"/>
      <c r="AC95" s="260">
        <f t="shared" si="23"/>
        <v>2.720738454319287</v>
      </c>
      <c r="AD95" s="260">
        <f t="shared" si="24"/>
        <v>5.4587738133637451</v>
      </c>
      <c r="AE95" s="260">
        <f t="shared" si="25"/>
        <v>2.320247866318335</v>
      </c>
      <c r="AF95" s="260">
        <f t="shared" si="26"/>
        <v>10.499760134001367</v>
      </c>
      <c r="AG95"/>
    </row>
    <row r="96" spans="1:33" x14ac:dyDescent="0.25">
      <c r="A96" s="246">
        <v>10</v>
      </c>
      <c r="B96" s="246" t="s">
        <v>118</v>
      </c>
      <c r="C96" s="246">
        <v>2</v>
      </c>
      <c r="D96" s="246" t="s">
        <v>253</v>
      </c>
      <c r="E96" s="246">
        <v>22</v>
      </c>
      <c r="F96" s="246" t="s">
        <v>165</v>
      </c>
      <c r="G96" s="247"/>
      <c r="H96" s="248">
        <v>3.80356764793396</v>
      </c>
      <c r="I96" s="248">
        <v>4.3233523368835449</v>
      </c>
      <c r="J96" s="248">
        <v>1.34773850440979</v>
      </c>
      <c r="K96" s="249">
        <f>IF(COUNT(H96:J96)&lt;L$1,0,1)</f>
        <v>1</v>
      </c>
      <c r="L96" s="250">
        <f>COUNTIF(H96:J96,"&gt;"&amp;0)</f>
        <v>3</v>
      </c>
      <c r="M96" s="251">
        <f>L96*K96</f>
        <v>3</v>
      </c>
      <c r="N96" s="252">
        <f t="shared" si="17"/>
        <v>9.4746584892272949</v>
      </c>
      <c r="W96" s="258">
        <f t="shared" si="18"/>
        <v>22</v>
      </c>
      <c r="X96" s="258">
        <f t="shared" si="19"/>
        <v>10</v>
      </c>
      <c r="Y96" s="258" t="str">
        <f t="shared" si="20"/>
        <v>Rueben Dagenhart</v>
      </c>
      <c r="Z96" s="258">
        <f t="shared" si="21"/>
        <v>2</v>
      </c>
      <c r="AA96" s="258" t="str">
        <f t="shared" si="22"/>
        <v>L</v>
      </c>
      <c r="AB96" s="259"/>
      <c r="AC96" s="260">
        <f t="shared" si="23"/>
        <v>4.5064432380131523</v>
      </c>
      <c r="AD96" s="260">
        <f t="shared" si="24"/>
        <v>5.1222808971677019</v>
      </c>
      <c r="AE96" s="260">
        <f t="shared" si="25"/>
        <v>1.5967921782872703</v>
      </c>
      <c r="AF96" s="260">
        <f t="shared" si="26"/>
        <v>11.225516313468123</v>
      </c>
      <c r="AG96"/>
    </row>
    <row r="97" spans="1:33" x14ac:dyDescent="0.25">
      <c r="A97" s="246"/>
      <c r="B97" s="246"/>
      <c r="C97" s="246"/>
      <c r="D97" s="246"/>
      <c r="E97" s="246"/>
      <c r="F97" s="246"/>
      <c r="G97" s="247"/>
      <c r="H97" s="248"/>
      <c r="I97" s="248"/>
      <c r="J97" s="248"/>
      <c r="K97" s="249">
        <f>IF(COUNT(H97:J97)&lt;L$1,0,1)</f>
        <v>0</v>
      </c>
      <c r="L97" s="250">
        <f>COUNTIF(H97:J97,"&gt;"&amp;0)</f>
        <v>0</v>
      </c>
      <c r="M97" s="251">
        <f>L97*K97</f>
        <v>0</v>
      </c>
      <c r="N97" s="252" t="str">
        <f t="shared" si="17"/>
        <v/>
      </c>
      <c r="W97" s="258">
        <f t="shared" si="18"/>
        <v>0</v>
      </c>
      <c r="X97" s="258">
        <f t="shared" si="19"/>
        <v>0</v>
      </c>
      <c r="Y97" s="258">
        <f t="shared" si="20"/>
        <v>0</v>
      </c>
      <c r="Z97" s="258">
        <f t="shared" si="21"/>
        <v>0</v>
      </c>
      <c r="AA97" s="258">
        <f t="shared" si="22"/>
        <v>0</v>
      </c>
      <c r="AB97" s="259"/>
      <c r="AC97" s="260" t="str">
        <f t="shared" si="23"/>
        <v/>
      </c>
      <c r="AD97" s="260" t="str">
        <f t="shared" si="24"/>
        <v/>
      </c>
      <c r="AE97" s="260" t="str">
        <f t="shared" si="25"/>
        <v/>
      </c>
      <c r="AF97" s="260">
        <f t="shared" si="26"/>
        <v>0</v>
      </c>
      <c r="AG97"/>
    </row>
    <row r="98" spans="1:33" x14ac:dyDescent="0.25">
      <c r="A98" s="246"/>
      <c r="B98" s="246"/>
      <c r="C98" s="246"/>
      <c r="D98" s="246"/>
      <c r="E98" s="246"/>
      <c r="F98" s="246"/>
      <c r="G98" s="247"/>
      <c r="H98" s="248"/>
      <c r="I98" s="248"/>
      <c r="J98" s="248"/>
      <c r="K98" s="249">
        <f>IF(COUNT(H98:J98)&lt;L$1,0,1)</f>
        <v>0</v>
      </c>
      <c r="L98" s="250">
        <f>COUNTIF(H98:J98,"&gt;"&amp;0)</f>
        <v>0</v>
      </c>
      <c r="M98" s="251">
        <f>L98*K98</f>
        <v>0</v>
      </c>
      <c r="N98" s="252" t="str">
        <f t="shared" si="17"/>
        <v/>
      </c>
      <c r="W98" s="258">
        <f t="shared" si="18"/>
        <v>0</v>
      </c>
      <c r="X98" s="258">
        <f t="shared" si="19"/>
        <v>0</v>
      </c>
      <c r="Y98" s="258">
        <f t="shared" si="20"/>
        <v>0</v>
      </c>
      <c r="Z98" s="258">
        <f t="shared" si="21"/>
        <v>0</v>
      </c>
      <c r="AA98" s="258">
        <f t="shared" si="22"/>
        <v>0</v>
      </c>
      <c r="AB98" s="259"/>
      <c r="AC98" s="260" t="str">
        <f t="shared" si="23"/>
        <v/>
      </c>
      <c r="AD98" s="260" t="str">
        <f t="shared" si="24"/>
        <v/>
      </c>
      <c r="AE98" s="260" t="str">
        <f t="shared" si="25"/>
        <v/>
      </c>
      <c r="AF98" s="260">
        <f t="shared" si="26"/>
        <v>0</v>
      </c>
      <c r="AG98"/>
    </row>
    <row r="99" spans="1:33" x14ac:dyDescent="0.25">
      <c r="A99" s="246"/>
      <c r="B99" s="246"/>
      <c r="C99" s="246"/>
      <c r="D99" s="246"/>
      <c r="E99" s="246"/>
      <c r="F99" s="246"/>
      <c r="G99" s="247"/>
      <c r="H99" s="248"/>
      <c r="I99" s="248"/>
      <c r="J99" s="248"/>
      <c r="K99" s="249">
        <f>IF(COUNT(H99:J99)&lt;L$1,0,1)</f>
        <v>0</v>
      </c>
      <c r="L99" s="250">
        <f>COUNTIF(H99:J99,"&gt;"&amp;0)</f>
        <v>0</v>
      </c>
      <c r="M99" s="251">
        <f>L99*K99</f>
        <v>0</v>
      </c>
      <c r="N99" s="252" t="str">
        <f t="shared" si="17"/>
        <v/>
      </c>
      <c r="W99" s="258">
        <f t="shared" si="18"/>
        <v>0</v>
      </c>
      <c r="X99" s="258">
        <f t="shared" si="19"/>
        <v>0</v>
      </c>
      <c r="Y99" s="258">
        <f t="shared" si="20"/>
        <v>0</v>
      </c>
      <c r="Z99" s="258">
        <f t="shared" si="21"/>
        <v>0</v>
      </c>
      <c r="AA99" s="258">
        <f t="shared" si="22"/>
        <v>0</v>
      </c>
      <c r="AB99" s="259"/>
      <c r="AC99" s="260" t="str">
        <f t="shared" si="23"/>
        <v/>
      </c>
      <c r="AD99" s="260" t="str">
        <f t="shared" si="24"/>
        <v/>
      </c>
      <c r="AE99" s="260" t="str">
        <f t="shared" si="25"/>
        <v/>
      </c>
      <c r="AF99" s="260">
        <f t="shared" si="26"/>
        <v>0</v>
      </c>
      <c r="AG99"/>
    </row>
    <row r="100" spans="1:33" x14ac:dyDescent="0.25">
      <c r="A100" s="246"/>
      <c r="B100" s="246"/>
      <c r="C100" s="246"/>
      <c r="D100" s="246"/>
      <c r="E100" s="246"/>
      <c r="F100" s="246"/>
      <c r="G100" s="247"/>
      <c r="H100" s="248"/>
      <c r="I100" s="248"/>
      <c r="J100" s="248"/>
      <c r="K100" s="249">
        <f>IF(COUNT(H100:J100)&lt;L$1,0,1)</f>
        <v>0</v>
      </c>
      <c r="L100" s="250">
        <f>COUNTIF(H100:J100,"&gt;"&amp;0)</f>
        <v>0</v>
      </c>
      <c r="M100" s="251">
        <f>L100*K100</f>
        <v>0</v>
      </c>
      <c r="N100" s="252" t="str">
        <f t="shared" si="17"/>
        <v/>
      </c>
      <c r="W100" s="258">
        <f t="shared" si="18"/>
        <v>0</v>
      </c>
      <c r="X100" s="258">
        <f t="shared" si="19"/>
        <v>0</v>
      </c>
      <c r="Y100" s="258">
        <f t="shared" si="20"/>
        <v>0</v>
      </c>
      <c r="Z100" s="258">
        <f t="shared" si="21"/>
        <v>0</v>
      </c>
      <c r="AA100" s="258">
        <f t="shared" si="22"/>
        <v>0</v>
      </c>
      <c r="AB100" s="259"/>
      <c r="AC100" s="260" t="str">
        <f t="shared" si="23"/>
        <v/>
      </c>
      <c r="AD100" s="260" t="str">
        <f t="shared" si="24"/>
        <v/>
      </c>
      <c r="AE100" s="260" t="str">
        <f t="shared" si="25"/>
        <v/>
      </c>
      <c r="AF100" s="260">
        <f t="shared" si="26"/>
        <v>0</v>
      </c>
      <c r="AG100"/>
    </row>
    <row r="101" spans="1:33" x14ac:dyDescent="0.25">
      <c r="A101" s="246"/>
      <c r="B101" s="246"/>
      <c r="C101" s="246"/>
      <c r="D101" s="246"/>
      <c r="E101" s="246"/>
      <c r="F101" s="246"/>
      <c r="G101" s="247"/>
      <c r="H101" s="248"/>
      <c r="I101" s="248"/>
      <c r="J101" s="248"/>
      <c r="K101" s="249">
        <f>IF(COUNT(H101:J101)&lt;L$1,0,1)</f>
        <v>0</v>
      </c>
      <c r="L101" s="250">
        <f>COUNTIF(H101:J101,"&gt;"&amp;0)</f>
        <v>0</v>
      </c>
      <c r="M101" s="251">
        <f>L101*K101</f>
        <v>0</v>
      </c>
      <c r="N101" s="252" t="str">
        <f t="shared" si="17"/>
        <v/>
      </c>
      <c r="W101" s="258">
        <f t="shared" si="18"/>
        <v>0</v>
      </c>
      <c r="X101" s="258">
        <f t="shared" si="19"/>
        <v>0</v>
      </c>
      <c r="Y101" s="258">
        <f t="shared" si="20"/>
        <v>0</v>
      </c>
      <c r="Z101" s="258">
        <f t="shared" si="21"/>
        <v>0</v>
      </c>
      <c r="AA101" s="258">
        <f t="shared" si="22"/>
        <v>0</v>
      </c>
      <c r="AB101" s="259"/>
      <c r="AC101" s="260" t="str">
        <f t="shared" si="23"/>
        <v/>
      </c>
      <c r="AD101" s="260" t="str">
        <f t="shared" si="24"/>
        <v/>
      </c>
      <c r="AE101" s="260" t="str">
        <f t="shared" si="25"/>
        <v/>
      </c>
      <c r="AF101" s="260">
        <f t="shared" si="26"/>
        <v>0</v>
      </c>
      <c r="AG101"/>
    </row>
    <row r="102" spans="1:33" x14ac:dyDescent="0.25">
      <c r="A102" s="246"/>
      <c r="B102" s="246"/>
      <c r="C102" s="246"/>
      <c r="D102" s="246"/>
      <c r="E102" s="246"/>
      <c r="F102" s="246"/>
      <c r="G102" s="247"/>
      <c r="H102" s="248"/>
      <c r="I102" s="248"/>
      <c r="J102" s="248"/>
      <c r="K102" s="249">
        <f>IF(COUNT(H102:J102)&lt;L$1,0,1)</f>
        <v>0</v>
      </c>
      <c r="L102" s="250">
        <f>COUNTIF(H102:J102,"&gt;"&amp;0)</f>
        <v>0</v>
      </c>
      <c r="M102" s="251">
        <f>L102*K102</f>
        <v>0</v>
      </c>
      <c r="N102" s="252" t="str">
        <f t="shared" si="17"/>
        <v/>
      </c>
      <c r="W102" s="258">
        <f t="shared" si="18"/>
        <v>0</v>
      </c>
      <c r="X102" s="258">
        <f t="shared" si="19"/>
        <v>0</v>
      </c>
      <c r="Y102" s="258">
        <f t="shared" si="20"/>
        <v>0</v>
      </c>
      <c r="Z102" s="258">
        <f t="shared" si="21"/>
        <v>0</v>
      </c>
      <c r="AA102" s="258">
        <f t="shared" si="22"/>
        <v>0</v>
      </c>
      <c r="AB102" s="259"/>
      <c r="AC102" s="260" t="str">
        <f t="shared" si="23"/>
        <v/>
      </c>
      <c r="AD102" s="260" t="str">
        <f t="shared" si="24"/>
        <v/>
      </c>
      <c r="AE102" s="260" t="str">
        <f t="shared" si="25"/>
        <v/>
      </c>
      <c r="AF102" s="260">
        <f t="shared" si="26"/>
        <v>0</v>
      </c>
      <c r="AG102"/>
    </row>
    <row r="103" spans="1:33" x14ac:dyDescent="0.25">
      <c r="A103" s="246"/>
      <c r="B103" s="246"/>
      <c r="C103" s="246"/>
      <c r="D103" s="246"/>
      <c r="E103" s="246"/>
      <c r="F103" s="246"/>
      <c r="G103" s="247"/>
      <c r="H103" s="248"/>
      <c r="I103" s="248"/>
      <c r="J103" s="248"/>
      <c r="K103" s="249">
        <f>IF(COUNT(H103:J103)&lt;L$1,0,1)</f>
        <v>0</v>
      </c>
      <c r="L103" s="250">
        <f>COUNTIF(H103:J103,"&gt;"&amp;0)</f>
        <v>0</v>
      </c>
      <c r="M103" s="251">
        <f>L103*K103</f>
        <v>0</v>
      </c>
      <c r="N103" s="252" t="str">
        <f t="shared" si="17"/>
        <v/>
      </c>
      <c r="W103" s="258">
        <f t="shared" si="18"/>
        <v>0</v>
      </c>
      <c r="X103" s="258">
        <f t="shared" si="19"/>
        <v>0</v>
      </c>
      <c r="Y103" s="258">
        <f t="shared" si="20"/>
        <v>0</v>
      </c>
      <c r="Z103" s="258">
        <f t="shared" si="21"/>
        <v>0</v>
      </c>
      <c r="AA103" s="258">
        <f t="shared" si="22"/>
        <v>0</v>
      </c>
      <c r="AB103" s="259"/>
      <c r="AC103" s="260" t="str">
        <f t="shared" si="23"/>
        <v/>
      </c>
      <c r="AD103" s="260" t="str">
        <f t="shared" si="24"/>
        <v/>
      </c>
      <c r="AE103" s="260" t="str">
        <f t="shared" si="25"/>
        <v/>
      </c>
      <c r="AF103" s="260">
        <f t="shared" si="26"/>
        <v>0</v>
      </c>
      <c r="AG103"/>
    </row>
    <row r="104" spans="1:33" x14ac:dyDescent="0.25">
      <c r="A104" s="246"/>
      <c r="B104" s="246"/>
      <c r="C104" s="246"/>
      <c r="D104" s="246"/>
      <c r="E104" s="246"/>
      <c r="F104" s="246"/>
      <c r="G104" s="247"/>
      <c r="H104" s="248"/>
      <c r="I104" s="248"/>
      <c r="J104" s="248"/>
      <c r="K104" s="249">
        <f>IF(COUNT(H104:J104)&lt;L$1,0,1)</f>
        <v>0</v>
      </c>
      <c r="L104" s="250">
        <f>COUNTIF(H104:J104,"&gt;"&amp;0)</f>
        <v>0</v>
      </c>
      <c r="M104" s="251">
        <f>L104*K104</f>
        <v>0</v>
      </c>
      <c r="N104" s="252" t="str">
        <f t="shared" si="17"/>
        <v/>
      </c>
      <c r="W104" s="258">
        <f t="shared" si="18"/>
        <v>0</v>
      </c>
      <c r="X104" s="258">
        <f t="shared" si="19"/>
        <v>0</v>
      </c>
      <c r="Y104" s="258">
        <f t="shared" si="20"/>
        <v>0</v>
      </c>
      <c r="Z104" s="258">
        <f t="shared" si="21"/>
        <v>0</v>
      </c>
      <c r="AA104" s="258">
        <f t="shared" si="22"/>
        <v>0</v>
      </c>
      <c r="AB104" s="259"/>
      <c r="AC104" s="260" t="str">
        <f t="shared" si="23"/>
        <v/>
      </c>
      <c r="AD104" s="260" t="str">
        <f t="shared" si="24"/>
        <v/>
      </c>
      <c r="AE104" s="260" t="str">
        <f t="shared" si="25"/>
        <v/>
      </c>
      <c r="AF104" s="260">
        <f t="shared" si="26"/>
        <v>0</v>
      </c>
      <c r="AG104"/>
    </row>
    <row r="105" spans="1:33" x14ac:dyDescent="0.25">
      <c r="W105"/>
      <c r="X105"/>
      <c r="Y105"/>
      <c r="Z105"/>
      <c r="AA105"/>
      <c r="AD105"/>
      <c r="AF105"/>
      <c r="AG105"/>
    </row>
    <row r="106" spans="1:33" x14ac:dyDescent="0.25">
      <c r="W106"/>
      <c r="X106"/>
      <c r="Y106"/>
      <c r="Z106"/>
      <c r="AA106"/>
      <c r="AD106"/>
      <c r="AF106"/>
      <c r="AG106"/>
    </row>
    <row r="107" spans="1:33" x14ac:dyDescent="0.25">
      <c r="W107"/>
      <c r="X107"/>
      <c r="Y107"/>
      <c r="Z107"/>
      <c r="AA107"/>
      <c r="AD107"/>
      <c r="AF107"/>
      <c r="AG107"/>
    </row>
    <row r="108" spans="1:33" x14ac:dyDescent="0.25">
      <c r="W108"/>
      <c r="X108"/>
      <c r="Y108"/>
      <c r="Z108"/>
      <c r="AA108"/>
      <c r="AD108"/>
      <c r="AF108"/>
      <c r="AG108"/>
    </row>
    <row r="109" spans="1:33" x14ac:dyDescent="0.25">
      <c r="W109"/>
      <c r="X109"/>
      <c r="Y109"/>
      <c r="Z109"/>
      <c r="AA109"/>
      <c r="AD109"/>
      <c r="AF109"/>
      <c r="AG109"/>
    </row>
    <row r="110" spans="1:33" x14ac:dyDescent="0.25">
      <c r="W110"/>
      <c r="X110"/>
      <c r="Y110"/>
      <c r="Z110"/>
      <c r="AA110"/>
      <c r="AD110"/>
      <c r="AF110"/>
      <c r="AG110"/>
    </row>
    <row r="111" spans="1:33" x14ac:dyDescent="0.25">
      <c r="W111"/>
      <c r="X111"/>
      <c r="Y111"/>
      <c r="Z111"/>
      <c r="AA111"/>
      <c r="AD111"/>
      <c r="AF111"/>
      <c r="AG111"/>
    </row>
    <row r="112" spans="1:33" x14ac:dyDescent="0.25">
      <c r="W112"/>
      <c r="X112"/>
      <c r="Y112"/>
      <c r="Z112"/>
      <c r="AA112"/>
      <c r="AD112"/>
      <c r="AF112"/>
      <c r="AG112"/>
    </row>
    <row r="113" spans="23:33" x14ac:dyDescent="0.25">
      <c r="W113"/>
      <c r="X113"/>
      <c r="Y113"/>
      <c r="Z113"/>
      <c r="AA113"/>
      <c r="AD113"/>
      <c r="AF113"/>
      <c r="AG113"/>
    </row>
    <row r="114" spans="23:33" x14ac:dyDescent="0.25">
      <c r="W114"/>
      <c r="X114"/>
      <c r="Y114"/>
      <c r="Z114"/>
      <c r="AA114"/>
      <c r="AD114"/>
      <c r="AF114"/>
      <c r="AG114"/>
    </row>
    <row r="115" spans="23:33" x14ac:dyDescent="0.25">
      <c r="W115"/>
      <c r="X115"/>
      <c r="Y115"/>
      <c r="Z115"/>
      <c r="AA115"/>
      <c r="AD115"/>
      <c r="AF115"/>
      <c r="AG115"/>
    </row>
    <row r="116" spans="23:33" x14ac:dyDescent="0.25">
      <c r="W116"/>
      <c r="X116"/>
      <c r="Y116"/>
      <c r="Z116"/>
      <c r="AA116"/>
      <c r="AD116"/>
      <c r="AF116"/>
      <c r="AG116"/>
    </row>
    <row r="117" spans="23:33" x14ac:dyDescent="0.25">
      <c r="W117"/>
      <c r="X117"/>
      <c r="Y117"/>
      <c r="Z117"/>
      <c r="AA117"/>
      <c r="AD117"/>
      <c r="AF117"/>
      <c r="AG117"/>
    </row>
    <row r="118" spans="23:33" x14ac:dyDescent="0.25">
      <c r="W118"/>
      <c r="X118"/>
      <c r="Y118"/>
      <c r="Z118"/>
      <c r="AA118"/>
      <c r="AD118"/>
      <c r="AF118"/>
      <c r="AG118"/>
    </row>
    <row r="119" spans="23:33" x14ac:dyDescent="0.25">
      <c r="W119"/>
      <c r="X119"/>
      <c r="Y119"/>
      <c r="Z119"/>
      <c r="AA119"/>
      <c r="AD119"/>
      <c r="AF119"/>
      <c r="AG119"/>
    </row>
    <row r="120" spans="23:33" x14ac:dyDescent="0.25">
      <c r="W120"/>
      <c r="X120"/>
      <c r="Y120"/>
      <c r="Z120"/>
      <c r="AA120"/>
      <c r="AD120"/>
      <c r="AF120"/>
      <c r="AG120"/>
    </row>
    <row r="121" spans="23:33" x14ac:dyDescent="0.25">
      <c r="W121"/>
      <c r="X121"/>
      <c r="Y121"/>
      <c r="Z121"/>
      <c r="AA121"/>
      <c r="AD121"/>
      <c r="AF121"/>
      <c r="AG121"/>
    </row>
    <row r="122" spans="23:33" x14ac:dyDescent="0.25">
      <c r="W122"/>
      <c r="X122"/>
      <c r="Y122"/>
      <c r="Z122"/>
      <c r="AA122"/>
      <c r="AD122"/>
      <c r="AF122"/>
      <c r="AG122"/>
    </row>
    <row r="123" spans="23:33" x14ac:dyDescent="0.25">
      <c r="W123"/>
      <c r="X123"/>
      <c r="Y123"/>
      <c r="Z123"/>
      <c r="AA123"/>
      <c r="AD123"/>
      <c r="AF123"/>
      <c r="AG123"/>
    </row>
    <row r="124" spans="23:33" x14ac:dyDescent="0.25">
      <c r="W124"/>
      <c r="X124"/>
      <c r="Y124"/>
      <c r="Z124"/>
      <c r="AA124"/>
      <c r="AD124"/>
      <c r="AF124"/>
      <c r="AG124"/>
    </row>
    <row r="125" spans="23:33" x14ac:dyDescent="0.25">
      <c r="W125"/>
      <c r="X125"/>
      <c r="Y125"/>
      <c r="Z125"/>
      <c r="AA125"/>
      <c r="AD125"/>
      <c r="AF125"/>
      <c r="AG125"/>
    </row>
    <row r="126" spans="23:33" x14ac:dyDescent="0.25">
      <c r="W126"/>
      <c r="X126"/>
      <c r="Y126"/>
      <c r="Z126"/>
      <c r="AA126"/>
      <c r="AD126"/>
      <c r="AF126"/>
      <c r="AG126"/>
    </row>
    <row r="127" spans="23:33" x14ac:dyDescent="0.25">
      <c r="W127"/>
      <c r="X127"/>
      <c r="Y127"/>
      <c r="Z127"/>
      <c r="AA127"/>
      <c r="AD127"/>
      <c r="AF127"/>
      <c r="AG127"/>
    </row>
    <row r="128" spans="23:33" x14ac:dyDescent="0.25">
      <c r="W128"/>
      <c r="X128"/>
      <c r="Y128"/>
      <c r="Z128"/>
      <c r="AA128"/>
      <c r="AD128"/>
      <c r="AF128"/>
      <c r="AG128"/>
    </row>
    <row r="129" spans="23:33" x14ac:dyDescent="0.25">
      <c r="W129"/>
      <c r="X129"/>
      <c r="Y129"/>
      <c r="Z129"/>
      <c r="AA129"/>
      <c r="AD129"/>
      <c r="AF129"/>
      <c r="AG129"/>
    </row>
    <row r="130" spans="23:33" x14ac:dyDescent="0.25">
      <c r="W130"/>
      <c r="X130"/>
      <c r="Y130"/>
      <c r="Z130"/>
      <c r="AA130"/>
      <c r="AD130"/>
      <c r="AF130"/>
      <c r="AG130"/>
    </row>
    <row r="131" spans="23:33" x14ac:dyDescent="0.25">
      <c r="W131"/>
      <c r="X131"/>
      <c r="Y131"/>
      <c r="Z131"/>
      <c r="AA131"/>
      <c r="AD131"/>
      <c r="AF131"/>
      <c r="AG131"/>
    </row>
    <row r="132" spans="23:33" x14ac:dyDescent="0.25">
      <c r="W132"/>
      <c r="X132"/>
      <c r="Y132"/>
      <c r="Z132"/>
      <c r="AA132"/>
      <c r="AD132"/>
      <c r="AF132"/>
      <c r="AG132"/>
    </row>
    <row r="133" spans="23:33" x14ac:dyDescent="0.25">
      <c r="W133"/>
      <c r="X133"/>
      <c r="Y133"/>
      <c r="Z133"/>
      <c r="AA133"/>
      <c r="AD133"/>
      <c r="AF133"/>
      <c r="AG133"/>
    </row>
    <row r="134" spans="23:33" x14ac:dyDescent="0.25">
      <c r="W134"/>
      <c r="X134"/>
      <c r="Y134"/>
      <c r="Z134"/>
      <c r="AA134"/>
      <c r="AD134"/>
      <c r="AF134"/>
      <c r="AG134"/>
    </row>
    <row r="135" spans="23:33" x14ac:dyDescent="0.25">
      <c r="W135"/>
      <c r="X135"/>
      <c r="Y135"/>
      <c r="Z135"/>
      <c r="AA135"/>
      <c r="AD135"/>
      <c r="AF135"/>
      <c r="AG135"/>
    </row>
    <row r="136" spans="23:33" x14ac:dyDescent="0.25">
      <c r="W136"/>
      <c r="X136"/>
      <c r="Y136"/>
      <c r="Z136"/>
      <c r="AA136"/>
      <c r="AD136"/>
      <c r="AF136"/>
      <c r="AG136"/>
    </row>
    <row r="137" spans="23:33" x14ac:dyDescent="0.25">
      <c r="W137"/>
      <c r="X137"/>
      <c r="Y137"/>
      <c r="Z137"/>
      <c r="AA137"/>
      <c r="AD137"/>
      <c r="AF137"/>
      <c r="AG137"/>
    </row>
    <row r="138" spans="23:33" x14ac:dyDescent="0.25">
      <c r="W138"/>
      <c r="X138"/>
      <c r="Y138"/>
      <c r="Z138"/>
      <c r="AA138"/>
      <c r="AD138"/>
      <c r="AF138"/>
      <c r="AG138"/>
    </row>
    <row r="139" spans="23:33" x14ac:dyDescent="0.25">
      <c r="W139"/>
      <c r="X139"/>
      <c r="Y139"/>
      <c r="Z139"/>
      <c r="AA139"/>
      <c r="AD139"/>
      <c r="AF139"/>
      <c r="AG139"/>
    </row>
    <row r="140" spans="23:33" x14ac:dyDescent="0.25">
      <c r="W140"/>
      <c r="X140"/>
      <c r="Y140"/>
      <c r="Z140"/>
      <c r="AA140"/>
      <c r="AD140"/>
      <c r="AF140"/>
      <c r="AG140"/>
    </row>
    <row r="141" spans="23:33" x14ac:dyDescent="0.25">
      <c r="W141"/>
      <c r="X141"/>
      <c r="Y141"/>
      <c r="Z141"/>
      <c r="AA141"/>
      <c r="AD141"/>
      <c r="AF141"/>
      <c r="AG141"/>
    </row>
    <row r="142" spans="23:33" x14ac:dyDescent="0.25">
      <c r="W142"/>
      <c r="X142"/>
      <c r="Y142"/>
      <c r="Z142"/>
      <c r="AA142"/>
      <c r="AD142"/>
      <c r="AF142"/>
      <c r="AG142"/>
    </row>
  </sheetData>
  <sortState xmlns:xlrd2="http://schemas.microsoft.com/office/spreadsheetml/2017/richdata2" ref="AH5:AN29">
    <sortCondition descending="1" ref="AN5:AN29"/>
  </sortState>
  <mergeCells count="25">
    <mergeCell ref="A1:F1"/>
    <mergeCell ref="P1:R1"/>
    <mergeCell ref="W1:AD1"/>
    <mergeCell ref="AH1:AM1"/>
    <mergeCell ref="R2:R4"/>
    <mergeCell ref="A2:A4"/>
    <mergeCell ref="B2:B4"/>
    <mergeCell ref="C2:C4"/>
    <mergeCell ref="D2:D4"/>
    <mergeCell ref="E2:E4"/>
    <mergeCell ref="K2:K4"/>
    <mergeCell ref="L2:L4"/>
    <mergeCell ref="M2:M4"/>
    <mergeCell ref="N2:N4"/>
    <mergeCell ref="P2:P4"/>
    <mergeCell ref="Q2:Q4"/>
    <mergeCell ref="AA2:AA4"/>
    <mergeCell ref="AM2:AM4"/>
    <mergeCell ref="AN2:AN4"/>
    <mergeCell ref="S2:S4"/>
    <mergeCell ref="U2:U4"/>
    <mergeCell ref="W2:W4"/>
    <mergeCell ref="X2:X4"/>
    <mergeCell ref="Y2:Y4"/>
    <mergeCell ref="Z2:Z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6E8AC-8EFD-4DE6-A55B-6769F7BDFCBB}">
  <sheetPr codeName="Sheet36">
    <tabColor theme="9" tint="0.79998168889431442"/>
  </sheetPr>
  <dimension ref="A1:Y28"/>
  <sheetViews>
    <sheetView zoomScale="130" zoomScaleNormal="130" workbookViewId="0">
      <pane ySplit="3" topLeftCell="A13" activePane="bottomLeft" state="frozen"/>
      <selection activeCell="D23" sqref="D23"/>
      <selection pane="bottomLeft" activeCell="X1" sqref="W1:X1048576"/>
    </sheetView>
  </sheetViews>
  <sheetFormatPr defaultRowHeight="15" x14ac:dyDescent="0.25"/>
  <cols>
    <col min="1" max="2" width="3.7109375" bestFit="1" customWidth="1"/>
    <col min="3" max="5" width="4.85546875" style="176" bestFit="1" customWidth="1"/>
    <col min="6" max="6" width="4.85546875" style="475" bestFit="1" customWidth="1"/>
    <col min="7" max="7" width="3.7109375" bestFit="1" customWidth="1"/>
    <col min="8" max="8" width="4.85546875" style="176" bestFit="1" customWidth="1"/>
    <col min="9" max="9" width="3.7109375" style="176" bestFit="1" customWidth="1"/>
    <col min="10" max="10" width="4.85546875" style="176" bestFit="1" customWidth="1"/>
    <col min="11" max="13" width="3.7109375" style="176" bestFit="1" customWidth="1"/>
    <col min="14" max="14" width="4.85546875" style="176" bestFit="1" customWidth="1"/>
    <col min="15" max="15" width="4.85546875" style="475" bestFit="1" customWidth="1"/>
    <col min="16" max="17" width="4.85546875" style="176" bestFit="1" customWidth="1"/>
    <col min="18" max="18" width="5.42578125" bestFit="1" customWidth="1"/>
    <col min="19" max="21" width="4.85546875" style="176" bestFit="1" customWidth="1"/>
    <col min="22" max="22" width="3.7109375" style="176" bestFit="1" customWidth="1"/>
    <col min="23" max="23" width="4.85546875" style="176" bestFit="1" customWidth="1"/>
    <col min="24" max="24" width="3.7109375" style="176" bestFit="1" customWidth="1"/>
    <col min="25" max="25" width="3.7109375" bestFit="1" customWidth="1"/>
    <col min="26" max="27" width="9.140625" customWidth="1"/>
    <col min="33" max="41" width="9.140625" customWidth="1"/>
  </cols>
  <sheetData>
    <row r="1" spans="1:25" x14ac:dyDescent="0.25">
      <c r="A1" s="208" t="s">
        <v>368</v>
      </c>
      <c r="B1" s="265"/>
      <c r="C1" s="472" t="s">
        <v>290</v>
      </c>
      <c r="D1" s="472"/>
      <c r="E1" s="472"/>
      <c r="F1" s="472"/>
      <c r="G1" s="266"/>
      <c r="H1" s="476"/>
      <c r="I1" s="476"/>
      <c r="J1" s="476"/>
      <c r="K1" s="476"/>
      <c r="L1" s="476"/>
      <c r="M1" s="477"/>
      <c r="N1" s="478" t="s">
        <v>291</v>
      </c>
      <c r="O1" s="478"/>
      <c r="P1" s="478"/>
      <c r="Q1" s="478"/>
      <c r="R1" s="267"/>
      <c r="S1" s="481"/>
      <c r="T1" s="481"/>
      <c r="U1" s="481"/>
      <c r="V1" s="481"/>
      <c r="W1" s="481"/>
      <c r="X1" s="482"/>
      <c r="Y1" s="208"/>
    </row>
    <row r="2" spans="1:25" x14ac:dyDescent="0.25">
      <c r="A2" s="232"/>
      <c r="B2" s="268"/>
      <c r="C2" s="483">
        <v>1</v>
      </c>
      <c r="D2" s="483">
        <v>2</v>
      </c>
      <c r="E2" s="483">
        <v>3</v>
      </c>
      <c r="F2" s="483">
        <v>4</v>
      </c>
      <c r="G2" s="269">
        <f>IF(COUNT(G4:G28)&gt;0,AVERAGE(G4:G28),"")</f>
        <v>4</v>
      </c>
      <c r="H2" s="473">
        <f>IF(COUNT(H4:H28)&gt;0,AVERAGE(H4:H28),"")</f>
        <v>9.0929977841999214</v>
      </c>
      <c r="I2" s="473">
        <f>IF(COUNT(I4:I28)&gt;0,AVERAGE(I4:I28),"")</f>
        <v>6.8836440210757051</v>
      </c>
      <c r="J2" s="473">
        <f>IF(COUNT(J4:J28)&gt;0,AVERAGE(J4:J28),"")</f>
        <v>11.21061424587084</v>
      </c>
      <c r="K2" s="473">
        <f>IF(COUNT(K4:K28)&gt;0,AVERAGE(K4:K28),"")</f>
        <v>4.3269702247951338</v>
      </c>
      <c r="L2" s="473">
        <f>IF(COUNT(L4:L28)&gt;0,AVERAGE(L4:L28),"")</f>
        <v>3.3509630958550707</v>
      </c>
      <c r="M2" s="473">
        <f>IF(COUNT(M4:M28)&gt;0,AVERAGE(M4:M28),"")</f>
        <v>1.6961552230888639</v>
      </c>
      <c r="N2" s="484">
        <v>1</v>
      </c>
      <c r="O2" s="484">
        <v>2</v>
      </c>
      <c r="P2" s="484">
        <v>3</v>
      </c>
      <c r="Q2" s="484">
        <v>4</v>
      </c>
      <c r="R2" s="270">
        <f>IF(COUNT(R4:R28)&gt;0,AVERAGE(R4:R28),"")</f>
        <v>3.68</v>
      </c>
      <c r="S2" s="479">
        <f>IF(COUNT(S4:S28)&gt;0,AVERAGE(S4:S28),"")</f>
        <v>10.799999999999999</v>
      </c>
      <c r="T2" s="479">
        <f>IF(COUNT(T4:T28)&gt;0,AVERAGE(T4:T28),"")</f>
        <v>8.2934192698529934</v>
      </c>
      <c r="U2" s="479">
        <f>IF(COUNT(U4:U28)&gt;0,AVERAGE(U4:U28),"")</f>
        <v>13.009050880650994</v>
      </c>
      <c r="V2" s="479">
        <f>IF(COUNT(V4:V28)&gt;0,AVERAGE(V4:V28),"")</f>
        <v>4.715631610797999</v>
      </c>
      <c r="W2" s="479">
        <f>IF(COUNT(W4:W28)&gt;0,AVERAGE(W4:W28),"")</f>
        <v>3.9011559282193931</v>
      </c>
      <c r="X2" s="479">
        <f>IF(COUNT(X4:X28)&gt;0,AVERAGE(X4:X28),"")</f>
        <v>1.8448986288740523</v>
      </c>
      <c r="Y2" s="232"/>
    </row>
    <row r="3" spans="1:25" s="47" customFormat="1" ht="78.75" x14ac:dyDescent="0.25">
      <c r="A3" s="221" t="s">
        <v>292</v>
      </c>
      <c r="B3" s="271" t="s">
        <v>69</v>
      </c>
      <c r="C3" s="474" t="s">
        <v>293</v>
      </c>
      <c r="D3" s="474" t="s">
        <v>293</v>
      </c>
      <c r="E3" s="474" t="s">
        <v>293</v>
      </c>
      <c r="F3" s="474" t="s">
        <v>293</v>
      </c>
      <c r="G3" s="272" t="s">
        <v>294</v>
      </c>
      <c r="H3" s="474" t="s">
        <v>295</v>
      </c>
      <c r="I3" s="474" t="s">
        <v>296</v>
      </c>
      <c r="J3" s="474" t="s">
        <v>297</v>
      </c>
      <c r="K3" s="474" t="s">
        <v>298</v>
      </c>
      <c r="L3" s="474" t="s">
        <v>299</v>
      </c>
      <c r="M3" s="474" t="s">
        <v>300</v>
      </c>
      <c r="N3" s="480" t="s">
        <v>301</v>
      </c>
      <c r="O3" s="480" t="s">
        <v>301</v>
      </c>
      <c r="P3" s="480" t="s">
        <v>301</v>
      </c>
      <c r="Q3" s="480" t="s">
        <v>301</v>
      </c>
      <c r="R3" s="273" t="s">
        <v>294</v>
      </c>
      <c r="S3" s="480" t="s">
        <v>302</v>
      </c>
      <c r="T3" s="480" t="s">
        <v>303</v>
      </c>
      <c r="U3" s="480" t="s">
        <v>304</v>
      </c>
      <c r="V3" s="480" t="s">
        <v>305</v>
      </c>
      <c r="W3" s="480" t="s">
        <v>306</v>
      </c>
      <c r="X3" s="480" t="s">
        <v>307</v>
      </c>
      <c r="Y3" s="221" t="s">
        <v>292</v>
      </c>
    </row>
    <row r="4" spans="1:25" x14ac:dyDescent="0.25">
      <c r="A4" s="246">
        <v>25</v>
      </c>
      <c r="B4" s="274">
        <v>17</v>
      </c>
      <c r="C4" s="275">
        <v>9.9685773849487305</v>
      </c>
      <c r="D4" s="275">
        <v>4.234724760055542</v>
      </c>
      <c r="E4" s="275">
        <v>12.766455173492432</v>
      </c>
      <c r="F4" s="275">
        <v>6.8756759166717529</v>
      </c>
      <c r="G4" s="258">
        <v>4</v>
      </c>
      <c r="H4" s="276">
        <f>IF(G4&gt;0,AVERAGE(C4:F4),"")</f>
        <v>8.4613583087921143</v>
      </c>
      <c r="I4" s="275">
        <f>IF(G4&gt;0,MIN(C4:F4),"")</f>
        <v>4.234724760055542</v>
      </c>
      <c r="J4" s="275">
        <f>IF(G4&gt;0,MAX(C4:F4),"")</f>
        <v>12.766455173492432</v>
      </c>
      <c r="K4" s="275">
        <f>IF(G4&gt;0,J4-I4,"")</f>
        <v>8.5317304134368896</v>
      </c>
      <c r="L4" s="275">
        <f>IF(G4&gt;0,_xlfn.VAR.P(C4:F4),"")</f>
        <v>10.296097040492242</v>
      </c>
      <c r="M4" s="275">
        <f>IF(G4&gt;0,_xlfn.STDEV.P(C4:F4),"")</f>
        <v>3.2087531909594174</v>
      </c>
      <c r="N4" s="277">
        <v>10.616900780348427</v>
      </c>
      <c r="O4" s="277">
        <v>5.2909374728085812</v>
      </c>
      <c r="P4" s="277">
        <v>13.193213325805559</v>
      </c>
      <c r="Q4" s="277">
        <v>8.5135484536872088</v>
      </c>
      <c r="R4" s="261">
        <f>G4</f>
        <v>4</v>
      </c>
      <c r="S4" s="278">
        <f>IF(R4&gt;0,AVERAGE(N4:Q4),"")</f>
        <v>9.4036500081624439</v>
      </c>
      <c r="T4" s="277">
        <f>IF(R4&gt;0,MIN(N4:Q4),"")</f>
        <v>5.2909374728085812</v>
      </c>
      <c r="U4" s="277">
        <f>IF(R4&gt;0,MAX(N4:Q4),"")</f>
        <v>13.193213325805559</v>
      </c>
      <c r="V4" s="277">
        <f>IF(R4&gt;0,U4-T4,"")</f>
        <v>7.9022758529969774</v>
      </c>
      <c r="W4" s="277">
        <f>IF(R4&gt;0,_xlfn.VAR.P(N4:Q4),"")</f>
        <v>8.3848631875930408</v>
      </c>
      <c r="X4" s="277">
        <f>IF(R4&gt;0,_xlfn.STDEV.P(N4:Q4),"")</f>
        <v>2.8956628235333342</v>
      </c>
      <c r="Y4" s="246">
        <v>25</v>
      </c>
    </row>
    <row r="5" spans="1:25" x14ac:dyDescent="0.25">
      <c r="A5" s="246">
        <v>24</v>
      </c>
      <c r="B5" s="274">
        <v>6</v>
      </c>
      <c r="C5" s="275">
        <v>9.1717166900634766</v>
      </c>
      <c r="D5" s="275">
        <v>6.0149123668670654</v>
      </c>
      <c r="E5" s="275">
        <v>6.4787886142730713</v>
      </c>
      <c r="F5" s="275">
        <v>9.8708145618438721</v>
      </c>
      <c r="G5" s="258">
        <v>4</v>
      </c>
      <c r="H5" s="276">
        <f>IF(G5&gt;0,AVERAGE(C5:F5),"")</f>
        <v>7.8840580582618713</v>
      </c>
      <c r="I5" s="275">
        <f>IF(G5&gt;0,MIN(C5:F5),"")</f>
        <v>6.0149123668670654</v>
      </c>
      <c r="J5" s="275">
        <f>IF(G5&gt;0,MAX(C5:F5),"")</f>
        <v>9.8708145618438721</v>
      </c>
      <c r="K5" s="275">
        <f>IF(G5&gt;0,J5-I5,"")</f>
        <v>3.8559021949768066</v>
      </c>
      <c r="L5" s="275">
        <f>IF(G5&gt;0,_xlfn.VAR.P(C5:F5),"")</f>
        <v>2.7684384956117327</v>
      </c>
      <c r="M5" s="275">
        <f>IF(G5&gt;0,_xlfn.STDEV.P(C5:F5),"")</f>
        <v>1.6638625230504269</v>
      </c>
      <c r="N5" s="277">
        <v>11.459299547204637</v>
      </c>
      <c r="O5" s="277">
        <v>7.6104251031938173</v>
      </c>
      <c r="P5" s="277">
        <v>8.4329919814864063</v>
      </c>
      <c r="Q5" s="277">
        <v>10.200776992839165</v>
      </c>
      <c r="R5" s="261">
        <f>G5</f>
        <v>4</v>
      </c>
      <c r="S5" s="278">
        <f>IF(R5&gt;0,AVERAGE(N5:Q5),"")</f>
        <v>9.4258734061810063</v>
      </c>
      <c r="T5" s="277">
        <f>IF(R5&gt;0,MIN(N5:Q5),"")</f>
        <v>7.6104251031938173</v>
      </c>
      <c r="U5" s="277">
        <f>IF(R5&gt;0,MAX(N5:Q5),"")</f>
        <v>11.459299547204637</v>
      </c>
      <c r="V5" s="277">
        <f>IF(R5&gt;0,U5-T5,"")</f>
        <v>3.8488744440108196</v>
      </c>
      <c r="W5" s="277">
        <f>IF(R5&gt;0,_xlfn.VAR.P(N5:Q5),"")</f>
        <v>2.2542408759841521</v>
      </c>
      <c r="X5" s="277">
        <f>IF(R5&gt;0,_xlfn.STDEV.P(N5:Q5),"")</f>
        <v>1.5014129598428783</v>
      </c>
      <c r="Y5" s="246">
        <v>24</v>
      </c>
    </row>
    <row r="6" spans="1:25" x14ac:dyDescent="0.25">
      <c r="A6" s="246">
        <v>23</v>
      </c>
      <c r="B6" s="274">
        <v>22</v>
      </c>
      <c r="C6" s="275">
        <v>5.7876768112182617</v>
      </c>
      <c r="D6" s="275">
        <v>9.4746584892272949</v>
      </c>
      <c r="E6" s="275">
        <v>6.3990921974182129</v>
      </c>
      <c r="F6" s="275">
        <v>8.8771851062774658</v>
      </c>
      <c r="G6" s="258">
        <v>4</v>
      </c>
      <c r="H6" s="276">
        <f>IF(G6&gt;0,AVERAGE(C6:F6),"")</f>
        <v>7.6346531510353088</v>
      </c>
      <c r="I6" s="275">
        <f>IF(G6&gt;0,MIN(C6:F6),"")</f>
        <v>5.7876768112182617</v>
      </c>
      <c r="J6" s="275">
        <f>IF(G6&gt;0,MAX(C6:F6),"")</f>
        <v>9.4746584892272949</v>
      </c>
      <c r="K6" s="275">
        <f>IF(G6&gt;0,J6-I6,"")</f>
        <v>3.6869816780090332</v>
      </c>
      <c r="L6" s="275">
        <f>IF(G6&gt;0,_xlfn.VAR.P(C6:F6),"")</f>
        <v>2.4668594435800202</v>
      </c>
      <c r="M6" s="275">
        <f>IF(G6&gt;0,_xlfn.STDEV.P(C6:F6),"")</f>
        <v>1.5706239026514337</v>
      </c>
      <c r="N6" s="277">
        <v>7.3229131542959474</v>
      </c>
      <c r="O6" s="277">
        <v>11.225516313468123</v>
      </c>
      <c r="P6" s="277">
        <v>8.3292566562113066</v>
      </c>
      <c r="Q6" s="277">
        <v>10.831753653401151</v>
      </c>
      <c r="R6" s="261">
        <f>G6</f>
        <v>4</v>
      </c>
      <c r="S6" s="278">
        <f>IF(R6&gt;0,AVERAGE(N6:Q6),"")</f>
        <v>9.4273599443441327</v>
      </c>
      <c r="T6" s="277">
        <f>IF(R6&gt;0,MIN(N6:Q6),"")</f>
        <v>7.3229131542959474</v>
      </c>
      <c r="U6" s="277">
        <f>IF(R6&gt;0,MAX(N6:Q6),"")</f>
        <v>11.225516313468123</v>
      </c>
      <c r="V6" s="277">
        <f>IF(R6&gt;0,U6-T6,"")</f>
        <v>3.9026031591721759</v>
      </c>
      <c r="W6" s="277">
        <f>IF(R6&gt;0,_xlfn.VAR.P(N6:Q6),"")</f>
        <v>2.710053785353054</v>
      </c>
      <c r="X6" s="277">
        <f>IF(R6&gt;0,_xlfn.STDEV.P(N6:Q6),"")</f>
        <v>1.6462240993719701</v>
      </c>
      <c r="Y6" s="246">
        <v>23</v>
      </c>
    </row>
    <row r="7" spans="1:25" x14ac:dyDescent="0.25">
      <c r="A7" s="246">
        <v>22</v>
      </c>
      <c r="B7" s="274">
        <v>1</v>
      </c>
      <c r="C7" s="275">
        <v>7.5806419849395752</v>
      </c>
      <c r="D7" s="275">
        <v>10.951641798019409</v>
      </c>
      <c r="E7" s="275">
        <v>7.980642557144165</v>
      </c>
      <c r="F7" s="275">
        <v>7.9301376342773438</v>
      </c>
      <c r="G7" s="258">
        <v>4</v>
      </c>
      <c r="H7" s="276">
        <f>IF(G7&gt;0,AVERAGE(C7:F7),"")</f>
        <v>8.6107659935951233</v>
      </c>
      <c r="I7" s="275">
        <f>IF(G7&gt;0,MIN(C7:F7),"")</f>
        <v>7.5806419849395752</v>
      </c>
      <c r="J7" s="275">
        <f>IF(G7&gt;0,MAX(C7:F7),"")</f>
        <v>10.951641798019409</v>
      </c>
      <c r="K7" s="275">
        <f>IF(G7&gt;0,J7-I7,"")</f>
        <v>3.370999813079834</v>
      </c>
      <c r="L7" s="275">
        <f>IF(G7&gt;0,_xlfn.VAR.P(C7:F7),"")</f>
        <v>1.8502913784050037</v>
      </c>
      <c r="M7" s="275">
        <f>IF(G7&gt;0,_xlfn.STDEV.P(C7:F7),"")</f>
        <v>1.36025415948822</v>
      </c>
      <c r="N7" s="277">
        <v>9.6392461764174691</v>
      </c>
      <c r="O7" s="277">
        <v>11.663900460565738</v>
      </c>
      <c r="P7" s="277">
        <v>8.2474201571650365</v>
      </c>
      <c r="Q7" s="277">
        <v>9.8191962233306267</v>
      </c>
      <c r="R7" s="261">
        <f>G7</f>
        <v>4</v>
      </c>
      <c r="S7" s="278">
        <f>IF(R7&gt;0,AVERAGE(N7:Q7),"")</f>
        <v>9.8424407543697185</v>
      </c>
      <c r="T7" s="277">
        <f>IF(R7&gt;0,MIN(N7:Q7),"")</f>
        <v>8.2474201571650365</v>
      </c>
      <c r="U7" s="277">
        <f>IF(R7&gt;0,MAX(N7:Q7),"")</f>
        <v>11.663900460565738</v>
      </c>
      <c r="V7" s="277">
        <f>IF(R7&gt;0,U7-T7,"")</f>
        <v>3.4164803034007019</v>
      </c>
      <c r="W7" s="277">
        <f>IF(R7&gt;0,_xlfn.VAR.P(N7:Q7),"")</f>
        <v>1.475908627883797</v>
      </c>
      <c r="X7" s="277">
        <f>IF(R7&gt;0,_xlfn.STDEV.P(N7:Q7),"")</f>
        <v>1.2148697987372132</v>
      </c>
      <c r="Y7" s="246">
        <v>22</v>
      </c>
    </row>
    <row r="8" spans="1:25" x14ac:dyDescent="0.25">
      <c r="A8" s="246">
        <v>21</v>
      </c>
      <c r="B8" s="274">
        <v>23</v>
      </c>
      <c r="C8" s="275">
        <v>7.5783581733703613</v>
      </c>
      <c r="D8" s="275">
        <v>10.774560451507568</v>
      </c>
      <c r="E8" s="275">
        <v>5.1047725677490234</v>
      </c>
      <c r="F8" s="275">
        <v>10.533874034881592</v>
      </c>
      <c r="G8" s="258">
        <v>4</v>
      </c>
      <c r="H8" s="276">
        <f>IF(G8&gt;0,AVERAGE(C8:F8),"")</f>
        <v>8.4978913068771362</v>
      </c>
      <c r="I8" s="275">
        <f>IF(G8&gt;0,MIN(C8:F8),"")</f>
        <v>5.1047725677490234</v>
      </c>
      <c r="J8" s="275">
        <f>IF(G8&gt;0,MAX(C8:F8),"")</f>
        <v>10.774560451507568</v>
      </c>
      <c r="K8" s="275">
        <f>IF(G8&gt;0,J8-I8,"")</f>
        <v>5.6697878837585449</v>
      </c>
      <c r="L8" s="275">
        <f>IF(G8&gt;0,_xlfn.VAR.P(C8:F8),"")</f>
        <v>5.4218110060709677</v>
      </c>
      <c r="M8" s="275">
        <f>IF(G8&gt;0,_xlfn.STDEV.P(C8:F8),"")</f>
        <v>2.3284782597376701</v>
      </c>
      <c r="N8" s="277">
        <v>8.663592054356867</v>
      </c>
      <c r="O8" s="277">
        <v>11.475302327315015</v>
      </c>
      <c r="P8" s="277">
        <v>6.4910280096215072</v>
      </c>
      <c r="Q8" s="277">
        <v>13.043175403824577</v>
      </c>
      <c r="R8" s="261">
        <f>G8</f>
        <v>4</v>
      </c>
      <c r="S8" s="278">
        <f>IF(R8&gt;0,AVERAGE(N8:Q8),"")</f>
        <v>9.918274448779492</v>
      </c>
      <c r="T8" s="277">
        <f>IF(R8&gt;0,MIN(N8:Q8),"")</f>
        <v>6.4910280096215072</v>
      </c>
      <c r="U8" s="277">
        <f>IF(R8&gt;0,MAX(N8:Q8),"")</f>
        <v>13.043175403824577</v>
      </c>
      <c r="V8" s="277">
        <f>IF(R8&gt;0,U8-T8,"")</f>
        <v>6.5521473942030699</v>
      </c>
      <c r="W8" s="277">
        <f>IF(R8&gt;0,_xlfn.VAR.P(N8:Q8),"")</f>
        <v>6.3773969647434114</v>
      </c>
      <c r="X8" s="277">
        <f>IF(R8&gt;0,_xlfn.STDEV.P(N8:Q8),"")</f>
        <v>2.5253508597308634</v>
      </c>
      <c r="Y8" s="246">
        <v>21</v>
      </c>
    </row>
    <row r="9" spans="1:25" x14ac:dyDescent="0.25">
      <c r="A9" s="246">
        <v>20</v>
      </c>
      <c r="B9" s="274">
        <v>4</v>
      </c>
      <c r="C9" s="275">
        <v>8.0270853042602539</v>
      </c>
      <c r="D9" s="275">
        <v>11.913380861282349</v>
      </c>
      <c r="E9" s="275">
        <v>10.649953365325928</v>
      </c>
      <c r="F9" s="275">
        <v>5.1750831604003906</v>
      </c>
      <c r="G9" s="258">
        <v>4</v>
      </c>
      <c r="H9" s="276">
        <f>IF(G9&gt;0,AVERAGE(C9:F9),"")</f>
        <v>8.9413756728172302</v>
      </c>
      <c r="I9" s="275">
        <f>IF(G9&gt;0,MIN(C9:F9),"")</f>
        <v>5.1750831604003906</v>
      </c>
      <c r="J9" s="275">
        <f>IF(G9&gt;0,MAX(C9:F9),"")</f>
        <v>11.913380861282349</v>
      </c>
      <c r="K9" s="275">
        <f>IF(G9&gt;0,J9-I9,"")</f>
        <v>6.738297700881958</v>
      </c>
      <c r="L9" s="275">
        <f>IF(G9&gt;0,_xlfn.VAR.P(C9:F9),"")</f>
        <v>6.6932346846812862</v>
      </c>
      <c r="M9" s="275">
        <f>IF(G9&gt;0,_xlfn.STDEV.P(C9:F9),"")</f>
        <v>2.5871286563836144</v>
      </c>
      <c r="N9" s="277">
        <v>10.156346057763031</v>
      </c>
      <c r="O9" s="277">
        <v>12.688187860557708</v>
      </c>
      <c r="P9" s="277">
        <v>11.005960914692047</v>
      </c>
      <c r="Q9" s="277">
        <v>6.5804321936896644</v>
      </c>
      <c r="R9" s="261">
        <f>G9</f>
        <v>4</v>
      </c>
      <c r="S9" s="278">
        <f>IF(R9&gt;0,AVERAGE(N9:Q9),"")</f>
        <v>10.107731756675614</v>
      </c>
      <c r="T9" s="277">
        <f>IF(R9&gt;0,MIN(N9:Q9),"")</f>
        <v>6.5804321936896644</v>
      </c>
      <c r="U9" s="277">
        <f>IF(R9&gt;0,MAX(N9:Q9),"")</f>
        <v>12.688187860557708</v>
      </c>
      <c r="V9" s="277">
        <f>IF(R9&gt;0,U9-T9,"")</f>
        <v>6.1077556668680435</v>
      </c>
      <c r="W9" s="277">
        <f>IF(R9&gt;0,_xlfn.VAR.P(N9:Q9),"")</f>
        <v>4.9774437204210642</v>
      </c>
      <c r="X9" s="277">
        <f>IF(R9&gt;0,_xlfn.STDEV.P(N9:Q9),"")</f>
        <v>2.2310185387891925</v>
      </c>
      <c r="Y9" s="246">
        <v>20</v>
      </c>
    </row>
    <row r="10" spans="1:25" x14ac:dyDescent="0.25">
      <c r="A10" s="246">
        <v>19</v>
      </c>
      <c r="B10" s="274">
        <v>2</v>
      </c>
      <c r="C10" s="275">
        <v>7.162482738494873</v>
      </c>
      <c r="D10" s="275">
        <v>10.531676054000854</v>
      </c>
      <c r="E10" s="275">
        <v>10.725108861923218</v>
      </c>
      <c r="F10" s="275">
        <v>8.6065130233764648</v>
      </c>
      <c r="G10" s="258">
        <v>4</v>
      </c>
      <c r="H10" s="276">
        <f>IF(G10&gt;0,AVERAGE(C10:F10),"")</f>
        <v>9.2564451694488525</v>
      </c>
      <c r="I10" s="275">
        <f>IF(G10&gt;0,MIN(C10:F10),"")</f>
        <v>7.162482738494873</v>
      </c>
      <c r="J10" s="275">
        <f>IF(G10&gt;0,MAX(C10:F10),"")</f>
        <v>10.725108861923218</v>
      </c>
      <c r="K10" s="275">
        <f>IF(G10&gt;0,J10-I10,"")</f>
        <v>3.5626261234283447</v>
      </c>
      <c r="L10" s="275">
        <f>IF(G10&gt;0,_xlfn.VAR.P(C10:F10),"")</f>
        <v>2.1475693268131693</v>
      </c>
      <c r="M10" s="275">
        <f>IF(G10&gt;0,_xlfn.STDEV.P(C10:F10),"")</f>
        <v>1.4654587427877896</v>
      </c>
      <c r="N10" s="277">
        <v>7.6283069929691329</v>
      </c>
      <c r="O10" s="277">
        <v>12.477864134814837</v>
      </c>
      <c r="P10" s="277">
        <v>12.260962835561854</v>
      </c>
      <c r="Q10" s="277">
        <v>8.8942122747192514</v>
      </c>
      <c r="R10" s="261">
        <f>G10</f>
        <v>4</v>
      </c>
      <c r="S10" s="278">
        <f>IF(R10&gt;0,AVERAGE(N10:Q10),"")</f>
        <v>10.315336559516268</v>
      </c>
      <c r="T10" s="277">
        <f>IF(R10&gt;0,MIN(N10:Q10),"")</f>
        <v>7.6283069929691329</v>
      </c>
      <c r="U10" s="277">
        <f>IF(R10&gt;0,MAX(N10:Q10),"")</f>
        <v>12.477864134814837</v>
      </c>
      <c r="V10" s="277">
        <f>IF(R10&gt;0,U10-T10,"")</f>
        <v>4.849557141845704</v>
      </c>
      <c r="W10" s="277">
        <f>IF(R10&gt;0,_xlfn.VAR.P(N10:Q10),"")</f>
        <v>4.4254273110760352</v>
      </c>
      <c r="X10" s="277">
        <f>IF(R10&gt;0,_xlfn.STDEV.P(N10:Q10),"")</f>
        <v>2.103669962488421</v>
      </c>
      <c r="Y10" s="246">
        <v>19</v>
      </c>
    </row>
    <row r="11" spans="1:25" x14ac:dyDescent="0.25">
      <c r="A11" s="246">
        <v>18</v>
      </c>
      <c r="B11" s="274">
        <v>7</v>
      </c>
      <c r="C11" s="275">
        <v>8.1338648796081543</v>
      </c>
      <c r="D11" s="275">
        <v>12.344329833984375</v>
      </c>
      <c r="E11" s="275">
        <v>7.2737569808959961</v>
      </c>
      <c r="F11" s="275">
        <v>7.7109665870666504</v>
      </c>
      <c r="G11" s="258">
        <v>4</v>
      </c>
      <c r="H11" s="276">
        <f>IF(G11&gt;0,AVERAGE(C11:F11),"")</f>
        <v>8.8657295703887939</v>
      </c>
      <c r="I11" s="275">
        <f>IF(G11&gt;0,MIN(C11:F11),"")</f>
        <v>7.2737569808959961</v>
      </c>
      <c r="J11" s="275">
        <f>IF(G11&gt;0,MAX(C11:F11),"")</f>
        <v>12.344329833984375</v>
      </c>
      <c r="K11" s="275">
        <f>IF(G11&gt;0,J11-I11,"")</f>
        <v>5.0705728530883789</v>
      </c>
      <c r="L11" s="275">
        <f>IF(G11&gt;0,_xlfn.VAR.P(C11:F11),"")</f>
        <v>4.1260349982115372</v>
      </c>
      <c r="M11" s="275">
        <f>IF(G11&gt;0,_xlfn.STDEV.P(C11:F11),"")</f>
        <v>2.0312643841242175</v>
      </c>
      <c r="N11" s="277">
        <v>10.291449931464072</v>
      </c>
      <c r="O11" s="277">
        <v>12.756977144447912</v>
      </c>
      <c r="P11" s="277">
        <v>9.4677474366184544</v>
      </c>
      <c r="Q11" s="277">
        <v>9.5478158743020707</v>
      </c>
      <c r="R11" s="261">
        <f>G11</f>
        <v>4</v>
      </c>
      <c r="S11" s="278">
        <f>IF(R11&gt;0,AVERAGE(N11:Q11),"")</f>
        <v>10.515997596708129</v>
      </c>
      <c r="T11" s="277">
        <f>IF(R11&gt;0,MIN(N11:Q11),"")</f>
        <v>9.4677474366184544</v>
      </c>
      <c r="U11" s="277">
        <f>IF(R11&gt;0,MAX(N11:Q11),"")</f>
        <v>12.756977144447912</v>
      </c>
      <c r="V11" s="277">
        <f>IF(R11&gt;0,U11-T11,"")</f>
        <v>3.2892297078294579</v>
      </c>
      <c r="W11" s="277">
        <f>IF(R11&gt;0,_xlfn.VAR.P(N11:Q11),"")</f>
        <v>1.7771538082709242</v>
      </c>
      <c r="X11" s="277">
        <f>IF(R11&gt;0,_xlfn.STDEV.P(N11:Q11),"")</f>
        <v>1.3330993242331661</v>
      </c>
      <c r="Y11" s="246">
        <v>18</v>
      </c>
    </row>
    <row r="12" spans="1:25" x14ac:dyDescent="0.25">
      <c r="A12" s="246">
        <v>17</v>
      </c>
      <c r="B12" s="274">
        <v>15</v>
      </c>
      <c r="C12" s="275">
        <v>12.001810312271118</v>
      </c>
      <c r="D12" s="275">
        <v>8.9219388961791992</v>
      </c>
      <c r="E12" s="275">
        <v>7.0793082714080811</v>
      </c>
      <c r="F12" s="275">
        <v>8.9147653579711914</v>
      </c>
      <c r="G12" s="258">
        <v>4</v>
      </c>
      <c r="H12" s="276">
        <f>IF(G12&gt;0,AVERAGE(C12:F12),"")</f>
        <v>9.2294557094573975</v>
      </c>
      <c r="I12" s="275">
        <f>IF(G12&gt;0,MIN(C12:F12),"")</f>
        <v>7.0793082714080811</v>
      </c>
      <c r="J12" s="275">
        <f>IF(G12&gt;0,MAX(C12:F12),"")</f>
        <v>12.001810312271118</v>
      </c>
      <c r="K12" s="275">
        <f>IF(G12&gt;0,J12-I12,"")</f>
        <v>4.9225020408630371</v>
      </c>
      <c r="L12" s="275">
        <f>IF(G12&gt;0,_xlfn.VAR.P(C12:F12),"")</f>
        <v>3.125670164214938</v>
      </c>
      <c r="M12" s="275">
        <f>IF(G12&gt;0,_xlfn.STDEV.P(C12:F12),"")</f>
        <v>1.7679564938693877</v>
      </c>
      <c r="N12" s="277">
        <v>12.782368471386491</v>
      </c>
      <c r="O12" s="277">
        <v>11.147222903640099</v>
      </c>
      <c r="P12" s="277">
        <v>8.0930773509794811</v>
      </c>
      <c r="Q12" s="277">
        <v>11.038374662818367</v>
      </c>
      <c r="R12" s="261">
        <f>G12</f>
        <v>4</v>
      </c>
      <c r="S12" s="278">
        <f>IF(R12&gt;0,AVERAGE(N12:Q12),"")</f>
        <v>10.765260847206111</v>
      </c>
      <c r="T12" s="277">
        <f>IF(R12&gt;0,MIN(N12:Q12),"")</f>
        <v>8.0930773509794811</v>
      </c>
      <c r="U12" s="277">
        <f>IF(R12&gt;0,MAX(N12:Q12),"")</f>
        <v>12.782368471386491</v>
      </c>
      <c r="V12" s="277">
        <f>IF(R12&gt;0,U12-T12,"")</f>
        <v>4.6892911204070096</v>
      </c>
      <c r="W12" s="277">
        <f>IF(R12&gt;0,_xlfn.VAR.P(N12:Q12),"")</f>
        <v>2.8574434934665049</v>
      </c>
      <c r="X12" s="277">
        <f>IF(R12&gt;0,_xlfn.STDEV.P(N12:Q12),"")</f>
        <v>1.6903974365416272</v>
      </c>
      <c r="Y12" s="246">
        <v>17</v>
      </c>
    </row>
    <row r="13" spans="1:25" x14ac:dyDescent="0.25">
      <c r="A13" s="246">
        <v>16</v>
      </c>
      <c r="B13" s="274">
        <v>8</v>
      </c>
      <c r="C13" s="275">
        <v>10.411836624145508</v>
      </c>
      <c r="D13" s="275">
        <v>10.162029266357422</v>
      </c>
      <c r="E13" s="275">
        <v>9.6127946376800537</v>
      </c>
      <c r="F13" s="275">
        <v>6.4932386875152588</v>
      </c>
      <c r="G13" s="258">
        <v>4</v>
      </c>
      <c r="H13" s="276">
        <f>IF(G13&gt;0,AVERAGE(C13:F13),"")</f>
        <v>9.1699748039245605</v>
      </c>
      <c r="I13" s="275">
        <f>IF(G13&gt;0,MIN(C13:F13),"")</f>
        <v>6.4932386875152588</v>
      </c>
      <c r="J13" s="275">
        <f>IF(G13&gt;0,MAX(C13:F13),"")</f>
        <v>10.411836624145508</v>
      </c>
      <c r="K13" s="275">
        <f>IF(G13&gt;0,J13-I13,"")</f>
        <v>3.918597936630249</v>
      </c>
      <c r="L13" s="275">
        <f>IF(G13&gt;0,_xlfn.VAR.P(C13:F13),"")</f>
        <v>2.4718496197531579</v>
      </c>
      <c r="M13" s="275">
        <f>IF(G13&gt;0,_xlfn.STDEV.P(C13:F13),"")</f>
        <v>1.572211696863103</v>
      </c>
      <c r="N13" s="277">
        <v>11.088988138533601</v>
      </c>
      <c r="O13" s="277">
        <v>12.039908925175313</v>
      </c>
      <c r="P13" s="277">
        <v>12.010389871536233</v>
      </c>
      <c r="Q13" s="277">
        <v>7.9229126163160988</v>
      </c>
      <c r="R13" s="261">
        <f>G13</f>
        <v>4</v>
      </c>
      <c r="S13" s="278">
        <f>IF(R13&gt;0,AVERAGE(N13:Q13),"")</f>
        <v>10.765549887890311</v>
      </c>
      <c r="T13" s="277">
        <f>IF(R13&gt;0,MIN(N13:Q13),"")</f>
        <v>7.9229126163160988</v>
      </c>
      <c r="U13" s="277">
        <f>IF(R13&gt;0,MAX(N13:Q13),"")</f>
        <v>12.039908925175313</v>
      </c>
      <c r="V13" s="277">
        <f>IF(R13&gt;0,U13-T13,"")</f>
        <v>4.1169963088592141</v>
      </c>
      <c r="W13" s="277">
        <f>IF(R13&gt;0,_xlfn.VAR.P(N13:Q13),"")</f>
        <v>2.8397041251289181</v>
      </c>
      <c r="X13" s="277">
        <f>IF(R13&gt;0,_xlfn.STDEV.P(N13:Q13),"")</f>
        <v>1.6851421676312413</v>
      </c>
      <c r="Y13" s="246">
        <v>16</v>
      </c>
    </row>
    <row r="14" spans="1:25" x14ac:dyDescent="0.25">
      <c r="A14" s="246">
        <v>15</v>
      </c>
      <c r="B14" s="274">
        <v>21</v>
      </c>
      <c r="C14" s="275">
        <v>7.6012229919433594</v>
      </c>
      <c r="D14" s="275">
        <v>11.364702463150024</v>
      </c>
      <c r="E14" s="275">
        <v>13.100319862365723</v>
      </c>
      <c r="F14" s="275">
        <v>5.1169030666351318</v>
      </c>
      <c r="G14" s="258">
        <v>4</v>
      </c>
      <c r="H14" s="276">
        <f>IF(G14&gt;0,AVERAGE(C14:F14),"")</f>
        <v>9.2957870960235596</v>
      </c>
      <c r="I14" s="275">
        <f>IF(G14&gt;0,MIN(C14:F14),"")</f>
        <v>5.1169030666351318</v>
      </c>
      <c r="J14" s="275">
        <f>IF(G14&gt;0,MAX(C14:F14),"")</f>
        <v>13.100319862365723</v>
      </c>
      <c r="K14" s="275">
        <f>IF(G14&gt;0,J14-I14,"")</f>
        <v>7.9834167957305908</v>
      </c>
      <c r="L14" s="275">
        <f>IF(G14&gt;0,_xlfn.VAR.P(C14:F14),"")</f>
        <v>9.7723749001044951</v>
      </c>
      <c r="M14" s="275">
        <f>IF(G14&gt;0,_xlfn.STDEV.P(C14:F14),"")</f>
        <v>3.1260797974627095</v>
      </c>
      <c r="N14" s="277">
        <v>9.4970978861728419</v>
      </c>
      <c r="O14" s="277">
        <v>14.379297924989546</v>
      </c>
      <c r="P14" s="277">
        <v>13.538238471971804</v>
      </c>
      <c r="Q14" s="277">
        <v>5.8496523569958123</v>
      </c>
      <c r="R14" s="261">
        <f>G14</f>
        <v>4</v>
      </c>
      <c r="S14" s="278">
        <f>IF(R14&gt;0,AVERAGE(N14:Q14),"")</f>
        <v>10.816071660032501</v>
      </c>
      <c r="T14" s="277">
        <f>IF(R14&gt;0,MIN(N14:Q14),"")</f>
        <v>5.8496523569958123</v>
      </c>
      <c r="U14" s="277">
        <f>IF(R14&gt;0,MAX(N14:Q14),"")</f>
        <v>14.379297924989546</v>
      </c>
      <c r="V14" s="277">
        <f>IF(R14&gt;0,U14-T14,"")</f>
        <v>8.5296455679937324</v>
      </c>
      <c r="W14" s="277">
        <f>IF(R14&gt;0,_xlfn.VAR.P(N14:Q14),"")</f>
        <v>11.627946519252149</v>
      </c>
      <c r="X14" s="277">
        <f>IF(R14&gt;0,_xlfn.STDEV.P(N14:Q14),"")</f>
        <v>3.409977495417257</v>
      </c>
      <c r="Y14" s="246">
        <v>15</v>
      </c>
    </row>
    <row r="15" spans="1:25" x14ac:dyDescent="0.25">
      <c r="A15" s="246">
        <v>14</v>
      </c>
      <c r="B15" s="274">
        <v>20</v>
      </c>
      <c r="C15" s="275">
        <v>9.9393596649169922</v>
      </c>
      <c r="D15" s="275">
        <v>8.3114230632781982</v>
      </c>
      <c r="E15" s="275">
        <v>10.328620672225952</v>
      </c>
      <c r="F15" s="275">
        <v>7.9312567710876465</v>
      </c>
      <c r="G15" s="258">
        <v>4</v>
      </c>
      <c r="H15" s="276">
        <f>IF(G15&gt;0,AVERAGE(C15:F15),"")</f>
        <v>9.1276650428771973</v>
      </c>
      <c r="I15" s="275">
        <f>IF(G15&gt;0,MIN(C15:F15),"")</f>
        <v>7.9312567710876465</v>
      </c>
      <c r="J15" s="275">
        <f>IF(G15&gt;0,MAX(C15:F15),"")</f>
        <v>10.328620672225952</v>
      </c>
      <c r="K15" s="275">
        <f>IF(G15&gt;0,J15-I15,"")</f>
        <v>2.3973639011383057</v>
      </c>
      <c r="L15" s="275">
        <f>IF(G15&gt;0,_xlfn.VAR.P(C15:F15),"")</f>
        <v>1.0496965762947355</v>
      </c>
      <c r="M15" s="275">
        <f>IF(G15&gt;0,_xlfn.STDEV.P(C15:F15),"")</f>
        <v>1.0245470102902723</v>
      </c>
      <c r="N15" s="277">
        <v>11.362693006640196</v>
      </c>
      <c r="O15" s="277">
        <v>8.8519706071156765</v>
      </c>
      <c r="P15" s="277">
        <v>13.444052660833577</v>
      </c>
      <c r="Q15" s="277">
        <v>9.677551890355506</v>
      </c>
      <c r="R15" s="261">
        <f>G15</f>
        <v>4</v>
      </c>
      <c r="S15" s="278">
        <f>IF(R15&gt;0,AVERAGE(N15:Q15),"")</f>
        <v>10.834067041236239</v>
      </c>
      <c r="T15" s="277">
        <f>IF(R15&gt;0,MIN(N15:Q15),"")</f>
        <v>8.8519706071156765</v>
      </c>
      <c r="U15" s="277">
        <f>IF(R15&gt;0,MAX(N15:Q15),"")</f>
        <v>13.444052660833577</v>
      </c>
      <c r="V15" s="277">
        <f>IF(R15&gt;0,U15-T15,"")</f>
        <v>4.5920820537179008</v>
      </c>
      <c r="W15" s="277">
        <f>IF(R15&gt;0,_xlfn.VAR.P(N15:Q15),"")</f>
        <v>3.0894259785435878</v>
      </c>
      <c r="X15" s="277">
        <f>IF(R15&gt;0,_xlfn.STDEV.P(N15:Q15),"")</f>
        <v>1.7576763008425607</v>
      </c>
      <c r="Y15" s="246">
        <v>14</v>
      </c>
    </row>
    <row r="16" spans="1:25" x14ac:dyDescent="0.25">
      <c r="A16" s="246">
        <v>13</v>
      </c>
      <c r="B16" s="274">
        <v>3</v>
      </c>
      <c r="C16" s="275">
        <v>6.7574172019958496</v>
      </c>
      <c r="D16" s="275">
        <v>10.318870782852173</v>
      </c>
      <c r="E16" s="275">
        <v>9.8616921901702881</v>
      </c>
      <c r="F16" s="275">
        <v>9.2941920757293701</v>
      </c>
      <c r="G16" s="258">
        <v>4</v>
      </c>
      <c r="H16" s="276">
        <f>IF(G16&gt;0,AVERAGE(C16:F16),"")</f>
        <v>9.0580430626869202</v>
      </c>
      <c r="I16" s="275">
        <f>IF(G16&gt;0,MIN(C16:F16),"")</f>
        <v>6.7574172019958496</v>
      </c>
      <c r="J16" s="275">
        <f>IF(G16&gt;0,MAX(C16:F16),"")</f>
        <v>10.318870782852173</v>
      </c>
      <c r="K16" s="275">
        <f>IF(G16&gt;0,J16-I16,"")</f>
        <v>3.5614535808563232</v>
      </c>
      <c r="L16" s="275">
        <f>IF(G16&gt;0,_xlfn.VAR.P(C16:F16),"")</f>
        <v>1.8960460418208385</v>
      </c>
      <c r="M16" s="275">
        <f>IF(G16&gt;0,_xlfn.STDEV.P(C16:F16),"")</f>
        <v>1.3769698768748859</v>
      </c>
      <c r="N16" s="277">
        <v>8.0061457755086778</v>
      </c>
      <c r="O16" s="277">
        <v>13.056049440556549</v>
      </c>
      <c r="P16" s="277">
        <v>12.836284082549003</v>
      </c>
      <c r="Q16" s="277">
        <v>9.6048791210821882</v>
      </c>
      <c r="R16" s="261">
        <f>G16</f>
        <v>4</v>
      </c>
      <c r="S16" s="278">
        <f>IF(R16&gt;0,AVERAGE(N16:Q16),"")</f>
        <v>10.875839604924106</v>
      </c>
      <c r="T16" s="277">
        <f>IF(R16&gt;0,MIN(N16:Q16),"")</f>
        <v>8.0061457755086778</v>
      </c>
      <c r="U16" s="277">
        <f>IF(R16&gt;0,MAX(N16:Q16),"")</f>
        <v>13.056049440556549</v>
      </c>
      <c r="V16" s="277">
        <f>IF(R16&gt;0,U16-T16,"")</f>
        <v>5.0499036650478715</v>
      </c>
      <c r="W16" s="277">
        <f>IF(R16&gt;0,_xlfn.VAR.P(N16:Q16),"")</f>
        <v>4.611785175827734</v>
      </c>
      <c r="X16" s="277">
        <f>IF(R16&gt;0,_xlfn.STDEV.P(N16:Q16),"")</f>
        <v>2.1475067347572474</v>
      </c>
      <c r="Y16" s="246">
        <v>13</v>
      </c>
    </row>
    <row r="17" spans="1:25" x14ac:dyDescent="0.25">
      <c r="A17" s="246">
        <v>12</v>
      </c>
      <c r="B17" s="274">
        <v>14</v>
      </c>
      <c r="C17" s="275">
        <v>9.829174280166626</v>
      </c>
      <c r="D17" s="275">
        <v>8.068748950958252</v>
      </c>
      <c r="E17" s="275">
        <v>9.7132387161254883</v>
      </c>
      <c r="F17" s="275">
        <v>9.3048961162567139</v>
      </c>
      <c r="G17" s="258">
        <v>4</v>
      </c>
      <c r="H17" s="276">
        <f>IF(G17&gt;0,AVERAGE(C17:F17),"")</f>
        <v>9.22901451587677</v>
      </c>
      <c r="I17" s="275">
        <f>IF(G17&gt;0,MIN(C17:F17),"")</f>
        <v>8.068748950958252</v>
      </c>
      <c r="J17" s="275">
        <f>IF(G17&gt;0,MAX(C17:F17),"")</f>
        <v>9.829174280166626</v>
      </c>
      <c r="K17" s="275">
        <f>IF(G17&gt;0,J17-I17,"")</f>
        <v>1.760425329208374</v>
      </c>
      <c r="L17" s="275">
        <f>IF(G17&gt;0,_xlfn.VAR.P(C17:F17),"")</f>
        <v>0.48665975429771891</v>
      </c>
      <c r="M17" s="275">
        <f>IF(G17&gt;0,_xlfn.STDEV.P(C17:F17),"")</f>
        <v>0.69761003024449042</v>
      </c>
      <c r="N17" s="277">
        <v>11.645544412538541</v>
      </c>
      <c r="O17" s="277">
        <v>8.593513770902506</v>
      </c>
      <c r="P17" s="277">
        <v>12.350972297735947</v>
      </c>
      <c r="Q17" s="277">
        <v>11.353637588396097</v>
      </c>
      <c r="R17" s="261">
        <f>G17</f>
        <v>4</v>
      </c>
      <c r="S17" s="278">
        <f>IF(R17&gt;0,AVERAGE(N17:Q17),"")</f>
        <v>10.985917017393273</v>
      </c>
      <c r="T17" s="277">
        <f>IF(R17&gt;0,MIN(N17:Q17),"")</f>
        <v>8.593513770902506</v>
      </c>
      <c r="U17" s="277">
        <f>IF(R17&gt;0,MAX(N17:Q17),"")</f>
        <v>12.350972297735947</v>
      </c>
      <c r="V17" s="277">
        <f>IF(R17&gt;0,U17-T17,"")</f>
        <v>3.7574585268334406</v>
      </c>
      <c r="W17" s="277">
        <f>IF(R17&gt;0,_xlfn.VAR.P(N17:Q17),"")</f>
        <v>2.0393239827439089</v>
      </c>
      <c r="X17" s="277">
        <f>IF(R17&gt;0,_xlfn.STDEV.P(N17:Q17),"")</f>
        <v>1.4280490127246714</v>
      </c>
      <c r="Y17" s="246">
        <v>12</v>
      </c>
    </row>
    <row r="18" spans="1:25" x14ac:dyDescent="0.25">
      <c r="A18" s="246">
        <v>11</v>
      </c>
      <c r="B18" s="274">
        <v>18</v>
      </c>
      <c r="C18" s="275">
        <v>9.9157271385192871</v>
      </c>
      <c r="D18" s="275">
        <v>7.5839543342590332</v>
      </c>
      <c r="E18" s="275">
        <v>8.8620994091033936</v>
      </c>
      <c r="F18" s="275">
        <v>9.4100146293640137</v>
      </c>
      <c r="G18" s="258">
        <v>4</v>
      </c>
      <c r="H18" s="276">
        <f>IF(G18&gt;0,AVERAGE(C18:F18),"")</f>
        <v>8.9429488778114319</v>
      </c>
      <c r="I18" s="275">
        <f>IF(G18&gt;0,MIN(C18:F18),"")</f>
        <v>7.5839543342590332</v>
      </c>
      <c r="J18" s="275">
        <f>IF(G18&gt;0,MAX(C18:F18),"")</f>
        <v>9.9157271385192871</v>
      </c>
      <c r="K18" s="275">
        <f>IF(G18&gt;0,J18-I18,"")</f>
        <v>2.3317728042602539</v>
      </c>
      <c r="L18" s="275">
        <f>IF(G18&gt;0,_xlfn.VAR.P(C18:F18),"")</f>
        <v>0.75446269169368563</v>
      </c>
      <c r="M18" s="275">
        <f>IF(G18&gt;0,_xlfn.STDEV.P(C18:F18),"")</f>
        <v>0.86859811863351721</v>
      </c>
      <c r="N18" s="277">
        <v>12.388878914210379</v>
      </c>
      <c r="O18" s="277">
        <v>9.5956703816423357</v>
      </c>
      <c r="P18" s="277">
        <v>10.499760134001367</v>
      </c>
      <c r="Q18" s="277">
        <v>11.965404475812679</v>
      </c>
      <c r="R18" s="261">
        <f>G18</f>
        <v>4</v>
      </c>
      <c r="S18" s="278">
        <f>IF(R18&gt;0,AVERAGE(N18:Q18),"")</f>
        <v>11.112428476416689</v>
      </c>
      <c r="T18" s="277">
        <f>IF(R18&gt;0,MIN(N18:Q18),"")</f>
        <v>9.5956703816423357</v>
      </c>
      <c r="U18" s="277">
        <f>IF(R18&gt;0,MAX(N18:Q18),"")</f>
        <v>12.388878914210379</v>
      </c>
      <c r="V18" s="277">
        <f>IF(R18&gt;0,U18-T18,"")</f>
        <v>2.7932085325680429</v>
      </c>
      <c r="W18" s="277">
        <f>IF(R18&gt;0,_xlfn.VAR.P(N18:Q18),"")</f>
        <v>1.2582028478877305</v>
      </c>
      <c r="X18" s="277">
        <f>IF(R18&gt;0,_xlfn.STDEV.P(N18:Q18),"")</f>
        <v>1.1216964152067754</v>
      </c>
      <c r="Y18" s="246">
        <v>11</v>
      </c>
    </row>
    <row r="19" spans="1:25" x14ac:dyDescent="0.25">
      <c r="A19" s="246">
        <v>10</v>
      </c>
      <c r="B19" s="274">
        <v>5</v>
      </c>
      <c r="C19" s="275">
        <v>9.2373783588409424</v>
      </c>
      <c r="D19" s="275">
        <v>9.9419472217559814</v>
      </c>
      <c r="E19" s="275">
        <v>7.7737393379211426</v>
      </c>
      <c r="F19" s="275">
        <v>9.2389447689056396</v>
      </c>
      <c r="G19" s="258">
        <v>4</v>
      </c>
      <c r="H19" s="276">
        <f>IF(G19&gt;0,AVERAGE(C19:F19),"")</f>
        <v>9.0480024218559265</v>
      </c>
      <c r="I19" s="275">
        <f>IF(G19&gt;0,MIN(C19:F19),"")</f>
        <v>7.7737393379211426</v>
      </c>
      <c r="J19" s="275">
        <f>IF(G19&gt;0,MAX(C19:F19),"")</f>
        <v>9.9419472217559814</v>
      </c>
      <c r="K19" s="275">
        <f>IF(G19&gt;0,J19-I19,"")</f>
        <v>2.1682078838348389</v>
      </c>
      <c r="L19" s="275">
        <f>IF(G19&gt;0,_xlfn.VAR.P(C19:F19),"")</f>
        <v>0.62380148443828531</v>
      </c>
      <c r="M19" s="275">
        <f>IF(G19&gt;0,_xlfn.STDEV.P(C19:F19),"")</f>
        <v>0.78981104350235909</v>
      </c>
      <c r="N19" s="277">
        <v>11.541338358118356</v>
      </c>
      <c r="O19" s="277">
        <v>11.779157090712479</v>
      </c>
      <c r="P19" s="277">
        <v>10.118539962614584</v>
      </c>
      <c r="Q19" s="277">
        <v>11.439777689390068</v>
      </c>
      <c r="R19" s="261">
        <f>G19</f>
        <v>4</v>
      </c>
      <c r="S19" s="278">
        <f>IF(R19&gt;0,AVERAGE(N19:Q19),"")</f>
        <v>11.219703275208872</v>
      </c>
      <c r="T19" s="277">
        <f>IF(R19&gt;0,MIN(N19:Q19),"")</f>
        <v>10.118539962614584</v>
      </c>
      <c r="U19" s="277">
        <f>IF(R19&gt;0,MAX(N19:Q19),"")</f>
        <v>11.779157090712479</v>
      </c>
      <c r="V19" s="277">
        <f>IF(R19&gt;0,U19-T19,"")</f>
        <v>1.6606171280978952</v>
      </c>
      <c r="W19" s="277">
        <f>IF(R19&gt;0,_xlfn.VAR.P(N19:Q19),"")</f>
        <v>0.41935777175513933</v>
      </c>
      <c r="X19" s="277">
        <f>IF(R19&gt;0,_xlfn.STDEV.P(N19:Q19),"")</f>
        <v>0.64757839043249377</v>
      </c>
      <c r="Y19" s="246">
        <v>10</v>
      </c>
    </row>
    <row r="20" spans="1:25" x14ac:dyDescent="0.25">
      <c r="A20" s="246">
        <v>9</v>
      </c>
      <c r="B20" s="274">
        <v>13</v>
      </c>
      <c r="C20" s="275">
        <v>8.1091079711914063</v>
      </c>
      <c r="D20" s="275">
        <v>8.2834038734436035</v>
      </c>
      <c r="E20" s="275">
        <v>11.84049391746521</v>
      </c>
      <c r="F20" s="275">
        <v>9.8513872623443604</v>
      </c>
      <c r="G20" s="258">
        <v>4</v>
      </c>
      <c r="H20" s="276">
        <f>IF(G20&gt;0,AVERAGE(C20:F20),"")</f>
        <v>9.521098256111145</v>
      </c>
      <c r="I20" s="275">
        <f>IF(G20&gt;0,MIN(C20:F20),"")</f>
        <v>8.1091079711914063</v>
      </c>
      <c r="J20" s="275">
        <f>IF(G20&gt;0,MAX(C20:F20),"")</f>
        <v>11.84049391746521</v>
      </c>
      <c r="K20" s="275">
        <f>IF(G20&gt;0,J20-I20,"")</f>
        <v>3.7313859462738037</v>
      </c>
      <c r="L20" s="275">
        <f>IF(G20&gt;0,_xlfn.VAR.P(C20:F20),"")</f>
        <v>2.2535727527852742</v>
      </c>
      <c r="M20" s="275">
        <f>IF(G20&gt;0,_xlfn.STDEV.P(C20:F20),"")</f>
        <v>1.5011904452084932</v>
      </c>
      <c r="N20" s="277">
        <v>10.555066165827885</v>
      </c>
      <c r="O20" s="277">
        <v>9.8141252709119691</v>
      </c>
      <c r="P20" s="277">
        <v>12.610560590305708</v>
      </c>
      <c r="Q20" s="277">
        <v>12.198111692647087</v>
      </c>
      <c r="R20" s="261">
        <f>G20</f>
        <v>4</v>
      </c>
      <c r="S20" s="278">
        <f>IF(R20&gt;0,AVERAGE(N20:Q20),"")</f>
        <v>11.294465929923163</v>
      </c>
      <c r="T20" s="277">
        <f>IF(R20&gt;0,MIN(N20:Q20),"")</f>
        <v>9.8141252709119691</v>
      </c>
      <c r="U20" s="277">
        <f>IF(R20&gt;0,MAX(N20:Q20),"")</f>
        <v>12.610560590305708</v>
      </c>
      <c r="V20" s="277">
        <f>IF(R20&gt;0,U20-T20,"")</f>
        <v>2.7964353193937388</v>
      </c>
      <c r="W20" s="277">
        <f>IF(R20&gt;0,_xlfn.VAR.P(N20:Q20),"")</f>
        <v>1.3217003243605063</v>
      </c>
      <c r="X20" s="277">
        <f>IF(R20&gt;0,_xlfn.STDEV.P(N20:Q20),"")</f>
        <v>1.1496522623648016</v>
      </c>
      <c r="Y20" s="246">
        <v>9</v>
      </c>
    </row>
    <row r="21" spans="1:25" x14ac:dyDescent="0.25">
      <c r="A21" s="246">
        <v>8</v>
      </c>
      <c r="B21" s="274">
        <v>16</v>
      </c>
      <c r="C21" s="275">
        <v>4.8074846267700195</v>
      </c>
      <c r="D21" s="275">
        <v>10.258622884750366</v>
      </c>
      <c r="E21" s="275">
        <v>11.820801496505737</v>
      </c>
      <c r="F21" s="275">
        <v>10.250644207000732</v>
      </c>
      <c r="G21" s="258">
        <v>4</v>
      </c>
      <c r="H21" s="276">
        <f>IF(G21&gt;0,AVERAGE(C21:F21),"")</f>
        <v>9.2843883037567139</v>
      </c>
      <c r="I21" s="275">
        <f>IF(G21&gt;0,MIN(C21:F21),"")</f>
        <v>4.8074846267700195</v>
      </c>
      <c r="J21" s="275">
        <f>IF(G21&gt;0,MAX(C21:F21),"")</f>
        <v>11.820801496505737</v>
      </c>
      <c r="K21" s="275">
        <f>IF(G21&gt;0,J21-I21,"")</f>
        <v>7.0133168697357178</v>
      </c>
      <c r="L21" s="275">
        <f>IF(G21&gt;0,_xlfn.VAR.P(C21:F21),"")</f>
        <v>7.0897104766815175</v>
      </c>
      <c r="M21" s="275">
        <f>IF(G21&gt;0,_xlfn.STDEV.P(C21:F21),"")</f>
        <v>2.6626510242015415</v>
      </c>
      <c r="N21" s="277">
        <v>5.6958778161676316</v>
      </c>
      <c r="O21" s="277">
        <v>12.979820214233261</v>
      </c>
      <c r="P21" s="277">
        <v>15.030866231877731</v>
      </c>
      <c r="Q21" s="277">
        <v>11.718554028743542</v>
      </c>
      <c r="R21" s="261">
        <f>G21</f>
        <v>4</v>
      </c>
      <c r="S21" s="278">
        <f>IF(R21&gt;0,AVERAGE(N21:Q21),"")</f>
        <v>11.35627957275554</v>
      </c>
      <c r="T21" s="277">
        <f>IF(R21&gt;0,MIN(N21:Q21),"")</f>
        <v>5.6958778161676316</v>
      </c>
      <c r="U21" s="277">
        <f>IF(R21&gt;0,MAX(N21:Q21),"")</f>
        <v>15.030866231877731</v>
      </c>
      <c r="V21" s="277">
        <f>IF(R21&gt;0,U21-T21,"")</f>
        <v>9.3349884157101002</v>
      </c>
      <c r="W21" s="277">
        <f>IF(R21&gt;0,_xlfn.VAR.P(N21:Q21),"")</f>
        <v>12.077465539343422</v>
      </c>
      <c r="X21" s="277">
        <f>IF(R21&gt;0,_xlfn.STDEV.P(N21:Q21),"")</f>
        <v>3.4752648157145409</v>
      </c>
      <c r="Y21" s="246">
        <v>8</v>
      </c>
    </row>
    <row r="22" spans="1:25" x14ac:dyDescent="0.25">
      <c r="A22" s="246">
        <v>7</v>
      </c>
      <c r="B22" s="274">
        <v>10</v>
      </c>
      <c r="C22" s="275">
        <v>10.334500551223755</v>
      </c>
      <c r="D22" s="275">
        <v>8.1145427227020264</v>
      </c>
      <c r="E22" s="275">
        <v>6.6903176307678223</v>
      </c>
      <c r="F22" s="275">
        <v>12.038448572158813</v>
      </c>
      <c r="G22" s="258">
        <v>4</v>
      </c>
      <c r="H22" s="276">
        <f>IF(G22&gt;0,AVERAGE(C22:F22),"")</f>
        <v>9.2944523692131042</v>
      </c>
      <c r="I22" s="275">
        <f>IF(G22&gt;0,MIN(C22:F22),"")</f>
        <v>6.6903176307678223</v>
      </c>
      <c r="J22" s="275">
        <f>IF(G22&gt;0,MAX(C22:F22),"")</f>
        <v>12.038448572158813</v>
      </c>
      <c r="K22" s="275">
        <f>IF(G22&gt;0,J22-I22,"")</f>
        <v>5.3481309413909912</v>
      </c>
      <c r="L22" s="275">
        <f>IF(G22&gt;0,_xlfn.VAR.P(C22:F22),"")</f>
        <v>4.1962299731478794</v>
      </c>
      <c r="M22" s="275">
        <f>IF(G22&gt;0,_xlfn.STDEV.P(C22:F22),"")</f>
        <v>2.0484701543219708</v>
      </c>
      <c r="N22" s="277">
        <v>13.075825153703661</v>
      </c>
      <c r="O22" s="277">
        <v>10.562140206769651</v>
      </c>
      <c r="P22" s="277">
        <v>8.5071447470436308</v>
      </c>
      <c r="Q22" s="277">
        <v>13.762375043584763</v>
      </c>
      <c r="R22" s="261">
        <f>G22</f>
        <v>4</v>
      </c>
      <c r="S22" s="278">
        <f>IF(R22&gt;0,AVERAGE(N22:Q22),"")</f>
        <v>11.476871287775426</v>
      </c>
      <c r="T22" s="277">
        <f>IF(R22&gt;0,MIN(N22:Q22),"")</f>
        <v>8.5071447470436308</v>
      </c>
      <c r="U22" s="277">
        <f>IF(R22&gt;0,MAX(N22:Q22),"")</f>
        <v>13.762375043584763</v>
      </c>
      <c r="V22" s="277">
        <f>IF(R22&gt;0,U22-T22,"")</f>
        <v>5.2552302965411322</v>
      </c>
      <c r="W22" s="277">
        <f>IF(R22&gt;0,_xlfn.VAR.P(N22:Q22),"")</f>
        <v>4.3590473901176097</v>
      </c>
      <c r="X22" s="277">
        <f>IF(R22&gt;0,_xlfn.STDEV.P(N22:Q22),"")</f>
        <v>2.0878331806247381</v>
      </c>
      <c r="Y22" s="246">
        <v>7</v>
      </c>
    </row>
    <row r="23" spans="1:25" x14ac:dyDescent="0.25">
      <c r="A23" s="246">
        <v>6</v>
      </c>
      <c r="B23" s="274">
        <v>11</v>
      </c>
      <c r="C23" s="275">
        <v>12.50521445274353</v>
      </c>
      <c r="D23" s="275">
        <v>7.5337924957275391</v>
      </c>
      <c r="E23" s="275">
        <v>9.930173397064209</v>
      </c>
      <c r="F23" s="275">
        <v>8.422703742980957</v>
      </c>
      <c r="G23" s="258">
        <v>4</v>
      </c>
      <c r="H23" s="276">
        <f>IF(G23&gt;0,AVERAGE(C23:F23),"")</f>
        <v>9.5979710221290588</v>
      </c>
      <c r="I23" s="275">
        <f>IF(G23&gt;0,MIN(C23:F23),"")</f>
        <v>7.5337924957275391</v>
      </c>
      <c r="J23" s="275">
        <f>IF(G23&gt;0,MAX(C23:F23),"")</f>
        <v>12.50521445274353</v>
      </c>
      <c r="K23" s="275">
        <f>IF(G23&gt;0,J23-I23,"")</f>
        <v>4.9714219570159912</v>
      </c>
      <c r="L23" s="275">
        <f>IF(G23&gt;0,_xlfn.VAR.P(C23:F23),"")</f>
        <v>3.5511272372642253</v>
      </c>
      <c r="M23" s="275">
        <f>IF(G23&gt;0,_xlfn.STDEV.P(C23:F23),"")</f>
        <v>1.8844434821093003</v>
      </c>
      <c r="N23" s="277">
        <v>14.816100126701066</v>
      </c>
      <c r="O23" s="277">
        <v>9.5322026381577754</v>
      </c>
      <c r="P23" s="277">
        <v>12.925421343077414</v>
      </c>
      <c r="Q23" s="277">
        <v>9.6288493568837161</v>
      </c>
      <c r="R23" s="261">
        <f>G23</f>
        <v>4</v>
      </c>
      <c r="S23" s="278">
        <f>IF(R23&gt;0,AVERAGE(N23:Q23),"")</f>
        <v>11.725643366204995</v>
      </c>
      <c r="T23" s="277">
        <f>IF(R23&gt;0,MIN(N23:Q23),"")</f>
        <v>9.5322026381577754</v>
      </c>
      <c r="U23" s="277">
        <f>IF(R23&gt;0,MAX(N23:Q23),"")</f>
        <v>14.816100126701066</v>
      </c>
      <c r="V23" s="277">
        <f>IF(R23&gt;0,U23-T23,"")</f>
        <v>5.2838974885432908</v>
      </c>
      <c r="W23" s="277">
        <f>IF(R23&gt;0,_xlfn.VAR.P(N23:Q23),"")</f>
        <v>5.0495293818164271</v>
      </c>
      <c r="X23" s="277">
        <f>IF(R23&gt;0,_xlfn.STDEV.P(N23:Q23),"")</f>
        <v>2.2471157918132363</v>
      </c>
      <c r="Y23" s="246">
        <v>6</v>
      </c>
    </row>
    <row r="24" spans="1:25" x14ac:dyDescent="0.25">
      <c r="A24" s="246">
        <v>5</v>
      </c>
      <c r="B24" s="274">
        <v>19</v>
      </c>
      <c r="C24" s="275">
        <v>9.3766329288482666</v>
      </c>
      <c r="D24" s="275">
        <v>9.8707039356231689</v>
      </c>
      <c r="E24" s="275">
        <v>12.083802461624146</v>
      </c>
      <c r="F24" s="275">
        <v>8.9292385578155518</v>
      </c>
      <c r="G24" s="258">
        <v>4</v>
      </c>
      <c r="H24" s="276">
        <f>IF(G24&gt;0,AVERAGE(C24:F24),"")</f>
        <v>10.065094470977783</v>
      </c>
      <c r="I24" s="275">
        <f>IF(G24&gt;0,MIN(C24:F24),"")</f>
        <v>8.9292385578155518</v>
      </c>
      <c r="J24" s="275">
        <f>IF(G24&gt;0,MAX(C24:F24),"")</f>
        <v>12.083802461624146</v>
      </c>
      <c r="K24" s="275">
        <f>IF(G24&gt;0,J24-I24,"")</f>
        <v>3.1545639038085938</v>
      </c>
      <c r="L24" s="275">
        <f>IF(G24&gt;0,_xlfn.VAR.P(C24:F24),"")</f>
        <v>1.4692793955479715</v>
      </c>
      <c r="M24" s="275">
        <f>IF(G24&gt;0,_xlfn.STDEV.P(C24:F24),"")</f>
        <v>1.2121383566028969</v>
      </c>
      <c r="N24" s="277">
        <v>9.6900758140700241</v>
      </c>
      <c r="O24" s="277">
        <v>12.332626155212694</v>
      </c>
      <c r="P24" s="277">
        <v>13.814223687765601</v>
      </c>
      <c r="Q24" s="277">
        <v>11.354068533738975</v>
      </c>
      <c r="R24" s="261">
        <f>G24</f>
        <v>4</v>
      </c>
      <c r="S24" s="278">
        <f>IF(R24&gt;0,AVERAGE(N24:Q24),"")</f>
        <v>11.797748547696823</v>
      </c>
      <c r="T24" s="277">
        <f>IF(R24&gt;0,MIN(N24:Q24),"")</f>
        <v>9.6900758140700241</v>
      </c>
      <c r="U24" s="277">
        <f>IF(R24&gt;0,MAX(N24:Q24),"")</f>
        <v>13.814223687765601</v>
      </c>
      <c r="V24" s="277">
        <f>IF(R24&gt;0,U24-T24,"")</f>
        <v>4.124147873695577</v>
      </c>
      <c r="W24" s="277">
        <f>IF(R24&gt;0,_xlfn.VAR.P(N24:Q24),"")</f>
        <v>2.2478505880991975</v>
      </c>
      <c r="X24" s="277">
        <f>IF(R24&gt;0,_xlfn.STDEV.P(N24:Q24),"")</f>
        <v>1.4992833581745639</v>
      </c>
      <c r="Y24" s="246">
        <v>5</v>
      </c>
    </row>
    <row r="25" spans="1:25" x14ac:dyDescent="0.25">
      <c r="A25" s="246">
        <v>4</v>
      </c>
      <c r="B25" s="274">
        <v>9</v>
      </c>
      <c r="C25" s="275">
        <v>10.516692876815796</v>
      </c>
      <c r="D25" s="275">
        <v>11.191821813583374</v>
      </c>
      <c r="E25" s="275">
        <v>11.236879825592041</v>
      </c>
      <c r="F25" s="275">
        <v>8.4119420051574707</v>
      </c>
      <c r="G25" s="258">
        <v>4</v>
      </c>
      <c r="H25" s="276">
        <f>IF(G25&gt;0,AVERAGE(C25:F25),"")</f>
        <v>10.33933413028717</v>
      </c>
      <c r="I25" s="275">
        <f>IF(G25&gt;0,MIN(C25:F25),"")</f>
        <v>8.4119420051574707</v>
      </c>
      <c r="J25" s="275">
        <f>IF(G25&gt;0,MAX(C25:F25),"")</f>
        <v>11.236879825592041</v>
      </c>
      <c r="K25" s="275">
        <f>IF(G25&gt;0,J25-I25,"")</f>
        <v>2.8249378204345703</v>
      </c>
      <c r="L25" s="275">
        <f>IF(G25&gt;0,_xlfn.VAR.P(C25:F25),"")</f>
        <v>1.3196550135785543</v>
      </c>
      <c r="M25" s="275">
        <f>IF(G25&gt;0,_xlfn.STDEV.P(C25:F25),"")</f>
        <v>1.1487623834277281</v>
      </c>
      <c r="N25" s="277">
        <v>10.868245783207019</v>
      </c>
      <c r="O25" s="277">
        <v>14.231080406917419</v>
      </c>
      <c r="P25" s="277">
        <v>12.846020278488165</v>
      </c>
      <c r="Q25" s="277">
        <v>10.510024073818784</v>
      </c>
      <c r="R25" s="261">
        <f>G25</f>
        <v>4</v>
      </c>
      <c r="S25" s="278">
        <f>IF(R25&gt;0,AVERAGE(N25:Q25),"")</f>
        <v>12.113842635607845</v>
      </c>
      <c r="T25" s="277">
        <f>IF(R25&gt;0,MIN(N25:Q25),"")</f>
        <v>10.510024073818784</v>
      </c>
      <c r="U25" s="277">
        <f>IF(R25&gt;0,MAX(N25:Q25),"")</f>
        <v>14.231080406917419</v>
      </c>
      <c r="V25" s="277">
        <f>IF(R25&gt;0,U25-T25,"")</f>
        <v>3.7210563330986357</v>
      </c>
      <c r="W25" s="277">
        <f>IF(R25&gt;0,_xlfn.VAR.P(N25:Q25),"")</f>
        <v>2.2856313447109642</v>
      </c>
      <c r="X25" s="277">
        <f>IF(R25&gt;0,_xlfn.STDEV.P(N25:Q25),"")</f>
        <v>1.5118304616295322</v>
      </c>
      <c r="Y25" s="246">
        <v>4</v>
      </c>
    </row>
    <row r="26" spans="1:25" x14ac:dyDescent="0.25">
      <c r="A26" s="246">
        <v>3</v>
      </c>
      <c r="B26" s="274">
        <v>12</v>
      </c>
      <c r="C26" s="275">
        <v>8.7033112049102783</v>
      </c>
      <c r="D26" s="275">
        <v>9.4621603488922119</v>
      </c>
      <c r="E26" s="275">
        <v>9.3190653324127197</v>
      </c>
      <c r="F26" s="275">
        <v>11.649230003356934</v>
      </c>
      <c r="G26" s="258">
        <v>4</v>
      </c>
      <c r="H26" s="276">
        <f>IF(G26&gt;0,AVERAGE(C26:F26),"")</f>
        <v>9.7834417223930359</v>
      </c>
      <c r="I26" s="275">
        <f>IF(G26&gt;0,MIN(C26:F26),"")</f>
        <v>8.7033112049102783</v>
      </c>
      <c r="J26" s="275">
        <f>IF(G26&gt;0,MAX(C26:F26),"")</f>
        <v>11.649230003356934</v>
      </c>
      <c r="K26" s="275">
        <f>IF(G26&gt;0,J26-I26,"")</f>
        <v>2.9459187984466553</v>
      </c>
      <c r="L26" s="275">
        <f>IF(G26&gt;0,_xlfn.VAR.P(C26:F26),"")</f>
        <v>1.2416787491773817</v>
      </c>
      <c r="M26" s="275">
        <f>IF(G26&gt;0,_xlfn.STDEV.P(C26:F26),"")</f>
        <v>1.1143063982484269</v>
      </c>
      <c r="N26" s="277">
        <v>11.328499504011702</v>
      </c>
      <c r="O26" s="277">
        <v>11.822184817277405</v>
      </c>
      <c r="P26" s="277">
        <v>11.849756927144991</v>
      </c>
      <c r="Q26" s="277">
        <v>14.214144251531149</v>
      </c>
      <c r="R26" s="261">
        <f>G26</f>
        <v>4</v>
      </c>
      <c r="S26" s="278">
        <f>IF(R26&gt;0,AVERAGE(N26:Q26),"")</f>
        <v>12.303646374991313</v>
      </c>
      <c r="T26" s="277">
        <f>IF(R26&gt;0,MIN(N26:Q26),"")</f>
        <v>11.328499504011702</v>
      </c>
      <c r="U26" s="277">
        <f>IF(R26&gt;0,MAX(N26:Q26),"")</f>
        <v>14.214144251531149</v>
      </c>
      <c r="V26" s="277">
        <f>IF(R26&gt;0,U26-T26,"")</f>
        <v>2.8856447475194464</v>
      </c>
      <c r="W26" s="277">
        <f>IF(R26&gt;0,_xlfn.VAR.P(N26:Q26),"")</f>
        <v>1.2596836046667723</v>
      </c>
      <c r="X26" s="277">
        <f>IF(R26&gt;0,_xlfn.STDEV.P(N26:Q26),"")</f>
        <v>1.1223562735008756</v>
      </c>
      <c r="Y26" s="246">
        <v>3</v>
      </c>
    </row>
    <row r="27" spans="1:25" x14ac:dyDescent="0.25">
      <c r="A27" s="246">
        <v>2</v>
      </c>
      <c r="B27" s="274"/>
      <c r="C27" s="275"/>
      <c r="D27" s="275"/>
      <c r="E27" s="275"/>
      <c r="F27" s="275"/>
      <c r="G27" s="258"/>
      <c r="H27" s="276" t="str">
        <f>IF(G27&gt;0,AVERAGE(C27:F27),"")</f>
        <v/>
      </c>
      <c r="I27" s="275" t="str">
        <f>IF(G27&gt;0,MIN(C27:F27),"")</f>
        <v/>
      </c>
      <c r="J27" s="275" t="str">
        <f>IF(G27&gt;0,MAX(C27:F27),"")</f>
        <v/>
      </c>
      <c r="K27" s="275" t="str">
        <f>IF(G27&gt;0,J27-I27,"")</f>
        <v/>
      </c>
      <c r="L27" s="275" t="str">
        <f>IF(G27&gt;0,_xlfn.VAR.P(C27:F27),"")</f>
        <v/>
      </c>
      <c r="M27" s="275" t="str">
        <f>IF(G27&gt;0,_xlfn.STDEV.P(C27:F27),"")</f>
        <v/>
      </c>
      <c r="N27" s="277"/>
      <c r="O27" s="277"/>
      <c r="P27" s="277"/>
      <c r="Q27" s="277"/>
      <c r="R27" s="261">
        <f>G27</f>
        <v>0</v>
      </c>
      <c r="S27" s="278" t="str">
        <f>IF(R27&gt;0,AVERAGE(N27:Q27),"")</f>
        <v/>
      </c>
      <c r="T27" s="277" t="str">
        <f>IF(R27&gt;0,MIN(N27:Q27),"")</f>
        <v/>
      </c>
      <c r="U27" s="277" t="str">
        <f>IF(R27&gt;0,MAX(N27:Q27),"")</f>
        <v/>
      </c>
      <c r="V27" s="277" t="str">
        <f>IF(R27&gt;0,U27-T27,"")</f>
        <v/>
      </c>
      <c r="W27" s="277" t="str">
        <f>IF(R27&gt;0,_xlfn.VAR.P(N27:Q27),"")</f>
        <v/>
      </c>
      <c r="X27" s="277" t="str">
        <f>IF(R27&gt;0,_xlfn.STDEV.P(N27:Q27),"")</f>
        <v/>
      </c>
      <c r="Y27" s="246">
        <v>2</v>
      </c>
    </row>
    <row r="28" spans="1:25" x14ac:dyDescent="0.25">
      <c r="A28" s="246">
        <v>1</v>
      </c>
      <c r="B28" s="274"/>
      <c r="C28" s="275"/>
      <c r="D28" s="275"/>
      <c r="E28" s="275"/>
      <c r="F28" s="275"/>
      <c r="G28" s="258"/>
      <c r="H28" s="276" t="str">
        <f>IF(G28&gt;0,AVERAGE(C28:F28),"")</f>
        <v/>
      </c>
      <c r="I28" s="275" t="str">
        <f>IF(G28&gt;0,MIN(C28:F28),"")</f>
        <v/>
      </c>
      <c r="J28" s="275" t="str">
        <f>IF(G28&gt;0,MAX(C28:F28),"")</f>
        <v/>
      </c>
      <c r="K28" s="275" t="str">
        <f>IF(G28&gt;0,J28-I28,"")</f>
        <v/>
      </c>
      <c r="L28" s="275" t="str">
        <f>IF(G28&gt;0,_xlfn.VAR.P(C28:F28),"")</f>
        <v/>
      </c>
      <c r="M28" s="275" t="str">
        <f>IF(G28&gt;0,_xlfn.STDEV.P(C28:F28),"")</f>
        <v/>
      </c>
      <c r="N28" s="277"/>
      <c r="O28" s="277"/>
      <c r="P28" s="277"/>
      <c r="Q28" s="277"/>
      <c r="R28" s="261">
        <f>G28</f>
        <v>0</v>
      </c>
      <c r="S28" s="278" t="str">
        <f>IF(R28&gt;0,AVERAGE(N28:Q28),"")</f>
        <v/>
      </c>
      <c r="T28" s="277" t="str">
        <f>IF(R28&gt;0,MIN(N28:Q28),"")</f>
        <v/>
      </c>
      <c r="U28" s="277" t="str">
        <f>IF(R28&gt;0,MAX(N28:Q28),"")</f>
        <v/>
      </c>
      <c r="V28" s="277" t="str">
        <f>IF(R28&gt;0,U28-T28,"")</f>
        <v/>
      </c>
      <c r="W28" s="277" t="str">
        <f>IF(R28&gt;0,_xlfn.VAR.P(N28:Q28),"")</f>
        <v/>
      </c>
      <c r="X28" s="277" t="str">
        <f>IF(R28&gt;0,_xlfn.STDEV.P(N28:Q28),"")</f>
        <v/>
      </c>
      <c r="Y28" s="246">
        <v>1</v>
      </c>
    </row>
  </sheetData>
  <sortState xmlns:xlrd2="http://schemas.microsoft.com/office/spreadsheetml/2017/richdata2" ref="B4:X28">
    <sortCondition ref="S4:S28"/>
  </sortState>
  <mergeCells count="2">
    <mergeCell ref="C1:F1"/>
    <mergeCell ref="N1:Q1"/>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CE939-756D-46F2-9C4B-197A4E6DBC5D}">
  <sheetPr codeName="Sheet3">
    <tabColor theme="5" tint="0.79998168889431442"/>
  </sheetPr>
  <dimension ref="A1:A5"/>
  <sheetViews>
    <sheetView zoomScale="145" zoomScaleNormal="145" workbookViewId="0">
      <selection activeCell="D23" sqref="D23"/>
    </sheetView>
  </sheetViews>
  <sheetFormatPr defaultRowHeight="15" x14ac:dyDescent="0.25"/>
  <cols>
    <col min="1" max="1" width="127.5703125" bestFit="1" customWidth="1"/>
  </cols>
  <sheetData>
    <row r="1" spans="1:1" x14ac:dyDescent="0.25">
      <c r="A1" s="279" t="str">
        <f>"Thank you for your willingess to help evaluate the projects submitted to the " &amp; 'Competition Parameters'!C7</f>
        <v>Thank you for your willingess to help evaluate the projects submitted to the AN EXCITING PROGRAM/COMPETITION</v>
      </c>
    </row>
    <row r="2" spans="1:1" x14ac:dyDescent="0.25">
      <c r="A2" s="279" t="s">
        <v>308</v>
      </c>
    </row>
    <row r="3" spans="1:1" x14ac:dyDescent="0.25">
      <c r="A3" s="279" t="s">
        <v>309</v>
      </c>
    </row>
    <row r="4" spans="1:1" x14ac:dyDescent="0.25">
      <c r="A4" s="279" t="s">
        <v>310</v>
      </c>
    </row>
    <row r="5" spans="1:1" ht="30" x14ac:dyDescent="0.25">
      <c r="A5" s="280" t="s">
        <v>311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C015B-0A11-4EC7-AAC6-689F6140C38F}">
  <sheetPr codeName="Sheet24">
    <tabColor theme="5" tint="0.79998168889431442"/>
  </sheetPr>
  <dimension ref="A1:A4"/>
  <sheetViews>
    <sheetView zoomScale="145" zoomScaleNormal="145" workbookViewId="0">
      <selection activeCell="D23" sqref="D23"/>
    </sheetView>
  </sheetViews>
  <sheetFormatPr defaultRowHeight="15" x14ac:dyDescent="0.25"/>
  <cols>
    <col min="1" max="1" width="134" customWidth="1"/>
  </cols>
  <sheetData>
    <row r="1" spans="1:1" x14ac:dyDescent="0.25">
      <c r="A1" s="279" t="str">
        <f>"Thank you for your willingess to help evaluate the projects submitted to the " &amp;'Competition Parameters'!C7</f>
        <v>Thank you for your willingess to help evaluate the projects submitted to the AN EXCITING PROGRAM/COMPETITION</v>
      </c>
    </row>
    <row r="2" spans="1:1" ht="75" x14ac:dyDescent="0.25">
      <c r="A2" s="280" t="s">
        <v>312</v>
      </c>
    </row>
    <row r="3" spans="1:1" x14ac:dyDescent="0.25">
      <c r="A3" s="281" t="str">
        <f>"For more information see: " &amp; 'Competition Parameters'!C9</f>
        <v xml:space="preserve">For more information see: </v>
      </c>
    </row>
    <row r="4" spans="1:1" x14ac:dyDescent="0.25">
      <c r="A4" s="282" t="s">
        <v>313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24DF-5C90-4090-BC28-A86BFAEF9479}">
  <sheetPr codeName="Sheet11">
    <tabColor theme="5" tint="0.79998168889431442"/>
  </sheetPr>
  <dimension ref="A1:K26"/>
  <sheetViews>
    <sheetView zoomScale="85" zoomScaleNormal="85" workbookViewId="0">
      <pane ySplit="1" topLeftCell="A2" activePane="bottomLeft" state="frozen"/>
      <selection activeCell="D23" sqref="D23"/>
      <selection pane="bottomLeft" activeCell="D23" sqref="D23"/>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03" customWidth="1"/>
    <col min="7" max="7" width="20.85546875" style="103" customWidth="1"/>
    <col min="8" max="8" width="13.85546875" bestFit="1" customWidth="1"/>
    <col min="9" max="9" width="2.28515625" customWidth="1"/>
    <col min="11" max="11" width="22.85546875" customWidth="1"/>
    <col min="27" max="1002" width="9.140625" customWidth="1"/>
  </cols>
  <sheetData>
    <row r="1" spans="1:11" ht="142.5" customHeight="1" x14ac:dyDescent="0.25">
      <c r="A1" s="283" t="s">
        <v>69</v>
      </c>
      <c r="B1" s="284" t="str">
        <f>Projects!B2</f>
        <v>Project Name</v>
      </c>
      <c r="C1" s="284" t="str">
        <f>Projects!C2</f>
        <v>Contact Name</v>
      </c>
      <c r="D1" s="284" t="str">
        <f>Projects!D2</f>
        <v>Organization</v>
      </c>
      <c r="E1" s="284" t="str">
        <f>Projects!F2</f>
        <v>Description</v>
      </c>
      <c r="F1" s="72" t="s">
        <v>314</v>
      </c>
      <c r="G1" s="88" t="s">
        <v>315</v>
      </c>
      <c r="H1" s="82" t="s">
        <v>316</v>
      </c>
      <c r="I1" s="285"/>
      <c r="J1" s="81" t="s">
        <v>181</v>
      </c>
      <c r="K1" s="61"/>
    </row>
    <row r="2" spans="1:11" ht="30" x14ac:dyDescent="0.25">
      <c r="A2" s="61">
        <f>Projects!A3</f>
        <v>1</v>
      </c>
      <c r="B2" s="286" t="str">
        <f>Projects!B3</f>
        <v>Project 1</v>
      </c>
      <c r="C2" s="286" t="str">
        <f>IF(LEN(Projects!C3)&gt;0,Projects!C3,"")</f>
        <v>Kristyn Sergio</v>
      </c>
      <c r="D2" s="287" t="str">
        <f>IF(LEN(Projects!D3)&gt;0,Projects!D3,"")</f>
        <v>Carleton University</v>
      </c>
      <c r="E2" s="286" t="str">
        <f>IF(LEN(Projects!F3)&gt;0,Projects!F3,"")</f>
        <v/>
      </c>
      <c r="F2" s="288" t="str">
        <f>IF(LEN($K$1)&gt;0,IF(AND(LEN(D2)&gt;0,VLOOKUP($K$1,Markers!A:D,3,FALSE)='Marker Project - template'!D2),"SAME ORGANIZATION",IF(ISNA(VLOOKUP(A2,Projects!A:G,5,FALSE)),"",IF(VLOOKUP(A2,Projects!A:G,7,FALSE)='Marker Project - template'!$K$1,"MENTOR",""))),"")</f>
        <v/>
      </c>
      <c r="G2" s="289"/>
      <c r="H2" s="287" t="str">
        <f>IF(AND(G2&lt;&gt;"L",G2&lt;&gt;"M",G2&lt;&gt;"H",G2&lt;&gt;"X"),"Enter L, M or H","")</f>
        <v>Enter L, M or H</v>
      </c>
      <c r="J2" s="88" t="s">
        <v>182</v>
      </c>
      <c r="K2" s="290"/>
    </row>
    <row r="3" spans="1:11" x14ac:dyDescent="0.25">
      <c r="A3" s="61">
        <f>Projects!A4</f>
        <v>2</v>
      </c>
      <c r="B3" s="286" t="str">
        <f>Projects!B4</f>
        <v>Project 2</v>
      </c>
      <c r="C3" s="286" t="str">
        <f>IF(LEN(Projects!C4)&gt;0,Projects!C4,"")</f>
        <v>Chu Vanallen</v>
      </c>
      <c r="D3" s="287" t="str">
        <f>IF(LEN(Projects!D4)&gt;0,Projects!D4,"")</f>
        <v>Cégep de Chicoutimi</v>
      </c>
      <c r="E3" s="286" t="str">
        <f>IF(LEN(Projects!F4)&gt;0,Projects!F4,"")</f>
        <v/>
      </c>
      <c r="F3" s="288" t="str">
        <f>IF(LEN($K$1)&gt;0,IF(AND(LEN(D3)&gt;0,VLOOKUP($K$1,Markers!A:D,3,FALSE)='Marker Project - template'!D3),"SAME ORGANIZATION",IF(ISNA(VLOOKUP(A3,Projects!A:G,5,FALSE)),"",IF(VLOOKUP(A3,Projects!A:G,7,FALSE)='Marker Project - template'!$K$1,"MENTOR",""))),"")</f>
        <v/>
      </c>
      <c r="G3" s="289"/>
      <c r="H3" s="56"/>
    </row>
    <row r="4" spans="1:11" x14ac:dyDescent="0.25">
      <c r="A4" s="61">
        <f>Projects!A5</f>
        <v>3</v>
      </c>
      <c r="B4" s="286" t="str">
        <f>Projects!B5</f>
        <v>Project 3</v>
      </c>
      <c r="C4" s="286" t="str">
        <f>IF(LEN(Projects!C5)&gt;0,Projects!C5,"")</f>
        <v>Yetta Cisneros</v>
      </c>
      <c r="D4" s="287" t="str">
        <f>IF(LEN(Projects!D5)&gt;0,Projects!D5,"")</f>
        <v>Cégep de Sainte-Foy</v>
      </c>
      <c r="E4" s="286" t="str">
        <f>IF(LEN(Projects!F5)&gt;0,Projects!F5,"")</f>
        <v/>
      </c>
      <c r="F4" s="288" t="str">
        <f>IF(LEN($K$1)&gt;0,IF(AND(LEN(D4)&gt;0,VLOOKUP($K$1,Markers!A:D,3,FALSE)='Marker Project - template'!D4),"SAME ORGANIZATION",IF(ISNA(VLOOKUP(A4,Projects!A:G,5,FALSE)),"",IF(VLOOKUP(A4,Projects!A:G,7,FALSE)='Marker Project - template'!$K$1,"MENTOR",""))),"")</f>
        <v/>
      </c>
      <c r="G4" s="289"/>
    </row>
    <row r="5" spans="1:11" x14ac:dyDescent="0.25">
      <c r="A5" s="61">
        <f>Projects!A6</f>
        <v>4</v>
      </c>
      <c r="B5" s="286" t="str">
        <f>Projects!B6</f>
        <v>Project 4</v>
      </c>
      <c r="C5" s="286" t="str">
        <f>IF(LEN(Projects!C6)&gt;0,Projects!C6,"")</f>
        <v>Henriette Wilford</v>
      </c>
      <c r="D5" s="287" t="str">
        <f>IF(LEN(Projects!D6)&gt;0,Projects!D6,"")</f>
        <v>Cégep de Shawinigan</v>
      </c>
      <c r="E5" s="286" t="str">
        <f>IF(LEN(Projects!F6)&gt;0,Projects!F6,"")</f>
        <v/>
      </c>
      <c r="F5" s="288" t="str">
        <f>IF(LEN($K$1)&gt;0,IF(AND(LEN(D5)&gt;0,VLOOKUP($K$1,Markers!A:D,3,FALSE)='Marker Project - template'!D5),"SAME ORGANIZATION",IF(ISNA(VLOOKUP(A5,Projects!A:G,5,FALSE)),"",IF(VLOOKUP(A5,Projects!A:G,7,FALSE)='Marker Project - template'!$K$1,"MENTOR",""))),"")</f>
        <v/>
      </c>
      <c r="G5" s="289"/>
    </row>
    <row r="6" spans="1:11" x14ac:dyDescent="0.25">
      <c r="A6" s="61">
        <f>Projects!A7</f>
        <v>5</v>
      </c>
      <c r="B6" s="286" t="str">
        <f>Projects!B7</f>
        <v>Project 5</v>
      </c>
      <c r="C6" s="286" t="str">
        <f>IF(LEN(Projects!C7)&gt;0,Projects!C7,"")</f>
        <v>Era Vandervoort</v>
      </c>
      <c r="D6" s="287" t="str">
        <f>IF(LEN(Projects!D7)&gt;0,Projects!D7,"")</f>
        <v>Cégep de Sherbrooke</v>
      </c>
      <c r="E6" s="286" t="str">
        <f>IF(LEN(Projects!F7)&gt;0,Projects!F7,"")</f>
        <v/>
      </c>
      <c r="F6" s="288" t="str">
        <f>IF(LEN($K$1)&gt;0,IF(AND(LEN(D6)&gt;0,VLOOKUP($K$1,Markers!A:D,3,FALSE)='Marker Project - template'!D6),"SAME ORGANIZATION",IF(ISNA(VLOOKUP(A6,Projects!A:G,5,FALSE)),"",IF(VLOOKUP(A6,Projects!A:G,7,FALSE)='Marker Project - template'!$K$1,"MENTOR",""))),"")</f>
        <v/>
      </c>
      <c r="G6" s="289"/>
    </row>
    <row r="7" spans="1:11" x14ac:dyDescent="0.25">
      <c r="A7" s="61">
        <f>Projects!A8</f>
        <v>6</v>
      </c>
      <c r="B7" s="286" t="str">
        <f>Projects!B8</f>
        <v>Project 6</v>
      </c>
      <c r="C7" s="286" t="str">
        <f>IF(LEN(Projects!C8)&gt;0,Projects!C8,"")</f>
        <v>Elmer Seawood</v>
      </c>
      <c r="D7" s="287" t="str">
        <f>IF(LEN(Projects!D8)&gt;0,Projects!D8,"")</f>
        <v>Collège de Rosemont</v>
      </c>
      <c r="E7" s="286" t="str">
        <f>IF(LEN(Projects!F8)&gt;0,Projects!F8,"")</f>
        <v/>
      </c>
      <c r="F7" s="288" t="str">
        <f>IF(LEN($K$1)&gt;0,IF(AND(LEN(D7)&gt;0,VLOOKUP($K$1,Markers!A:D,3,FALSE)='Marker Project - template'!D7),"SAME ORGANIZATION",IF(ISNA(VLOOKUP(A7,Projects!A:G,5,FALSE)),"",IF(VLOOKUP(A7,Projects!A:G,7,FALSE)='Marker Project - template'!$K$1,"MENTOR",""))),"")</f>
        <v/>
      </c>
      <c r="G7" s="289"/>
    </row>
    <row r="8" spans="1:11" x14ac:dyDescent="0.25">
      <c r="A8" s="61">
        <f>Projects!A9</f>
        <v>7</v>
      </c>
      <c r="B8" s="286" t="str">
        <f>Projects!B9</f>
        <v>Project 7</v>
      </c>
      <c r="C8" s="286" t="str">
        <f>IF(LEN(Projects!C9)&gt;0,Projects!C9,"")</f>
        <v>Aldo Range</v>
      </c>
      <c r="D8" s="287" t="str">
        <f>IF(LEN(Projects!D9)&gt;0,Projects!D9,"")</f>
        <v>Collège Montmorency</v>
      </c>
      <c r="E8" s="286" t="str">
        <f>IF(LEN(Projects!F9)&gt;0,Projects!F9,"")</f>
        <v/>
      </c>
      <c r="F8" s="288" t="str">
        <f>IF(LEN($K$1)&gt;0,IF(AND(LEN(D8)&gt;0,VLOOKUP($K$1,Markers!A:D,3,FALSE)='Marker Project - template'!D8),"SAME ORGANIZATION",IF(ISNA(VLOOKUP(A8,Projects!A:G,5,FALSE)),"",IF(VLOOKUP(A8,Projects!A:G,7,FALSE)='Marker Project - template'!$K$1,"MENTOR",""))),"")</f>
        <v/>
      </c>
      <c r="G8" s="289"/>
    </row>
    <row r="9" spans="1:11" x14ac:dyDescent="0.25">
      <c r="A9" s="61">
        <f>Projects!A10</f>
        <v>8</v>
      </c>
      <c r="B9" s="286" t="str">
        <f>Projects!B10</f>
        <v>Project 8</v>
      </c>
      <c r="C9" s="286" t="str">
        <f>IF(LEN(Projects!C10)&gt;0,Projects!C10,"")</f>
        <v>Dena Demas</v>
      </c>
      <c r="D9" s="287" t="str">
        <f>IF(LEN(Projects!D10)&gt;0,Projects!D10,"")</f>
        <v>John Abbott College</v>
      </c>
      <c r="E9" s="286" t="str">
        <f>IF(LEN(Projects!F10)&gt;0,Projects!F10,"")</f>
        <v/>
      </c>
      <c r="F9" s="288" t="str">
        <f>IF(LEN($K$1)&gt;0,IF(AND(LEN(D9)&gt;0,VLOOKUP($K$1,Markers!A:D,3,FALSE)='Marker Project - template'!D9),"SAME ORGANIZATION",IF(ISNA(VLOOKUP(A9,Projects!A:G,5,FALSE)),"",IF(VLOOKUP(A9,Projects!A:G,7,FALSE)='Marker Project - template'!$K$1,"MENTOR",""))),"")</f>
        <v/>
      </c>
      <c r="G9" s="289"/>
    </row>
    <row r="10" spans="1:11" x14ac:dyDescent="0.25">
      <c r="A10" s="61">
        <f>Projects!A11</f>
        <v>9</v>
      </c>
      <c r="B10" s="286" t="str">
        <f>Projects!B11</f>
        <v>Project 9</v>
      </c>
      <c r="C10" s="286" t="str">
        <f>IF(LEN(Projects!C11)&gt;0,Projects!C11,"")</f>
        <v>Gerard Cutright</v>
      </c>
      <c r="D10" s="287" t="str">
        <f>IF(LEN(Projects!D11)&gt;0,Projects!D11,"")</f>
        <v>Lakehead University</v>
      </c>
      <c r="E10" s="286" t="str">
        <f>IF(LEN(Projects!F11)&gt;0,Projects!F11,"")</f>
        <v/>
      </c>
      <c r="F10" s="288" t="str">
        <f>IF(LEN($K$1)&gt;0,IF(AND(LEN(D10)&gt;0,VLOOKUP($K$1,Markers!A:D,3,FALSE)='Marker Project - template'!D10),"SAME ORGANIZATION",IF(ISNA(VLOOKUP(A10,Projects!A:G,5,FALSE)),"",IF(VLOOKUP(A10,Projects!A:G,7,FALSE)='Marker Project - template'!$K$1,"MENTOR",""))),"")</f>
        <v/>
      </c>
      <c r="G10" s="289"/>
    </row>
    <row r="11" spans="1:11" x14ac:dyDescent="0.25">
      <c r="A11" s="61">
        <f>Projects!A12</f>
        <v>10</v>
      </c>
      <c r="B11" s="286" t="str">
        <f>Projects!B12</f>
        <v>Project 10</v>
      </c>
      <c r="C11" s="286" t="str">
        <f>IF(LEN(Projects!C12)&gt;0,Projects!C12,"")</f>
        <v>Rueben Dagenhart</v>
      </c>
      <c r="D11" s="287" t="str">
        <f>IF(LEN(Projects!D12)&gt;0,Projects!D12,"")</f>
        <v>McMaster University</v>
      </c>
      <c r="E11" s="286" t="str">
        <f>IF(LEN(Projects!F12)&gt;0,Projects!F12,"")</f>
        <v/>
      </c>
      <c r="F11" s="288" t="str">
        <f>IF(LEN($K$1)&gt;0,IF(AND(LEN(D11)&gt;0,VLOOKUP($K$1,Markers!A:D,3,FALSE)='Marker Project - template'!D11),"SAME ORGANIZATION",IF(ISNA(VLOOKUP(A11,Projects!A:G,5,FALSE)),"",IF(VLOOKUP(A11,Projects!A:G,7,FALSE)='Marker Project - template'!$K$1,"MENTOR",""))),"")</f>
        <v/>
      </c>
      <c r="G11" s="289"/>
    </row>
    <row r="12" spans="1:11" x14ac:dyDescent="0.25">
      <c r="A12" s="61">
        <f>Projects!A13</f>
        <v>11</v>
      </c>
      <c r="B12" s="286" t="str">
        <f>Projects!B13</f>
        <v>Project 11</v>
      </c>
      <c r="C12" s="286" t="str">
        <f>IF(LEN(Projects!C13)&gt;0,Projects!C13,"")</f>
        <v>Mariella Seibel</v>
      </c>
      <c r="D12" s="287" t="str">
        <f>IF(LEN(Projects!D13)&gt;0,Projects!D13,"")</f>
        <v>Redeemer University</v>
      </c>
      <c r="E12" s="286" t="str">
        <f>IF(LEN(Projects!F13)&gt;0,Projects!F13,"")</f>
        <v/>
      </c>
      <c r="F12" s="288" t="str">
        <f>IF(LEN($K$1)&gt;0,IF(AND(LEN(D12)&gt;0,VLOOKUP($K$1,Markers!A:D,3,FALSE)='Marker Project - template'!D12),"SAME ORGANIZATION",IF(ISNA(VLOOKUP(A12,Projects!A:G,5,FALSE)),"",IF(VLOOKUP(A12,Projects!A:G,7,FALSE)='Marker Project - template'!$K$1,"MENTOR",""))),"")</f>
        <v/>
      </c>
      <c r="G12" s="289"/>
    </row>
    <row r="13" spans="1:11" x14ac:dyDescent="0.25">
      <c r="A13" s="61">
        <f>Projects!A14</f>
        <v>12</v>
      </c>
      <c r="B13" s="286" t="str">
        <f>Projects!B14</f>
        <v>Project 12</v>
      </c>
      <c r="C13" s="286" t="str">
        <f>IF(LEN(Projects!C14)&gt;0,Projects!C14,"")</f>
        <v>Shanta Monterrosa</v>
      </c>
      <c r="D13" s="287" t="str">
        <f>IF(LEN(Projects!D14)&gt;0,Projects!D14,"")</f>
        <v>Athabasca University</v>
      </c>
      <c r="E13" s="286" t="str">
        <f>IF(LEN(Projects!F14)&gt;0,Projects!F14,"")</f>
        <v/>
      </c>
      <c r="F13" s="288" t="str">
        <f>IF(LEN($K$1)&gt;0,IF(AND(LEN(D13)&gt;0,VLOOKUP($K$1,Markers!A:D,3,FALSE)='Marker Project - template'!D13),"SAME ORGANIZATION",IF(ISNA(VLOOKUP(A13,Projects!A:G,5,FALSE)),"",IF(VLOOKUP(A13,Projects!A:G,7,FALSE)='Marker Project - template'!$K$1,"MENTOR",""))),"")</f>
        <v/>
      </c>
      <c r="G13" s="289"/>
    </row>
    <row r="14" spans="1:11" x14ac:dyDescent="0.25">
      <c r="A14" s="61">
        <f>Projects!A15</f>
        <v>13</v>
      </c>
      <c r="B14" s="286" t="str">
        <f>Projects!B15</f>
        <v>Project 13</v>
      </c>
      <c r="C14" s="286" t="str">
        <f>IF(LEN(Projects!C15)&gt;0,Projects!C15,"")</f>
        <v>Danica Lando</v>
      </c>
      <c r="D14" s="287" t="str">
        <f>IF(LEN(Projects!D15)&gt;0,Projects!D15,"")</f>
        <v>Capilano University*</v>
      </c>
      <c r="E14" s="286" t="str">
        <f>IF(LEN(Projects!F15)&gt;0,Projects!F15,"")</f>
        <v/>
      </c>
      <c r="F14" s="288" t="str">
        <f>IF(LEN($K$1)&gt;0,IF(AND(LEN(D14)&gt;0,VLOOKUP($K$1,Markers!A:D,3,FALSE)='Marker Project - template'!D14),"SAME ORGANIZATION",IF(ISNA(VLOOKUP(A14,Projects!A:G,5,FALSE)),"",IF(VLOOKUP(A14,Projects!A:G,7,FALSE)='Marker Project - template'!$K$1,"MENTOR",""))),"")</f>
        <v/>
      </c>
      <c r="G14" s="289"/>
    </row>
    <row r="15" spans="1:11" x14ac:dyDescent="0.25">
      <c r="A15" s="61">
        <f>Projects!A16</f>
        <v>14</v>
      </c>
      <c r="B15" s="286" t="str">
        <f>Projects!B16</f>
        <v>Project 14</v>
      </c>
      <c r="C15" s="286" t="str">
        <f>IF(LEN(Projects!C16)&gt;0,Projects!C16,"")</f>
        <v>Roger Richart</v>
      </c>
      <c r="D15" s="287" t="str">
        <f>IF(LEN(Projects!D16)&gt;0,Projects!D16,"")</f>
        <v>Cégep de Baie-Comeau</v>
      </c>
      <c r="E15" s="286" t="str">
        <f>IF(LEN(Projects!F16)&gt;0,Projects!F16,"")</f>
        <v/>
      </c>
      <c r="F15" s="288" t="str">
        <f>IF(LEN($K$1)&gt;0,IF(AND(LEN(D15)&gt;0,VLOOKUP($K$1,Markers!A:D,3,FALSE)='Marker Project - template'!D15),"SAME ORGANIZATION",IF(ISNA(VLOOKUP(A15,Projects!A:G,5,FALSE)),"",IF(VLOOKUP(A15,Projects!A:G,7,FALSE)='Marker Project - template'!$K$1,"MENTOR",""))),"")</f>
        <v/>
      </c>
      <c r="G15" s="289"/>
    </row>
    <row r="16" spans="1:11" x14ac:dyDescent="0.25">
      <c r="A16" s="61">
        <f>Projects!A17</f>
        <v>15</v>
      </c>
      <c r="B16" s="286" t="str">
        <f>Projects!B17</f>
        <v>Project 15</v>
      </c>
      <c r="C16" s="286" t="str">
        <f>IF(LEN(Projects!C17)&gt;0,Projects!C17,"")</f>
        <v>Letisha Gulick</v>
      </c>
      <c r="D16" s="287" t="str">
        <f>IF(LEN(Projects!D17)&gt;0,Projects!D17,"")</f>
        <v>Cégep de l’Outaouais</v>
      </c>
      <c r="E16" s="286" t="str">
        <f>IF(LEN(Projects!F17)&gt;0,Projects!F17,"")</f>
        <v/>
      </c>
      <c r="F16" s="288" t="str">
        <f>IF(LEN($K$1)&gt;0,IF(AND(LEN(D16)&gt;0,VLOOKUP($K$1,Markers!A:D,3,FALSE)='Marker Project - template'!D16),"SAME ORGANIZATION",IF(ISNA(VLOOKUP(A16,Projects!A:G,5,FALSE)),"",IF(VLOOKUP(A16,Projects!A:G,7,FALSE)='Marker Project - template'!$K$1,"MENTOR",""))),"")</f>
        <v/>
      </c>
      <c r="G16" s="289"/>
    </row>
    <row r="17" spans="1:7" x14ac:dyDescent="0.25">
      <c r="A17" s="61">
        <f>Projects!A18</f>
        <v>16</v>
      </c>
      <c r="B17" s="286" t="str">
        <f>Projects!B18</f>
        <v>Project 16</v>
      </c>
      <c r="C17" s="286" t="str">
        <f>IF(LEN(Projects!C18)&gt;0,Projects!C18,"")</f>
        <v>Terica Cathcart</v>
      </c>
      <c r="D17" s="287" t="str">
        <f>IF(LEN(Projects!D18)&gt;0,Projects!D18,"")</f>
        <v>Cégep de Sorel-Tracy</v>
      </c>
      <c r="E17" s="286" t="str">
        <f>IF(LEN(Projects!F18)&gt;0,Projects!F18,"")</f>
        <v/>
      </c>
      <c r="F17" s="288" t="str">
        <f>IF(LEN($K$1)&gt;0,IF(AND(LEN(D17)&gt;0,VLOOKUP($K$1,Markers!A:D,3,FALSE)='Marker Project - template'!D17),"SAME ORGANIZATION",IF(ISNA(VLOOKUP(A17,Projects!A:G,5,FALSE)),"",IF(VLOOKUP(A17,Projects!A:G,7,FALSE)='Marker Project - template'!$K$1,"MENTOR",""))),"")</f>
        <v/>
      </c>
      <c r="G17" s="289"/>
    </row>
    <row r="18" spans="1:7" x14ac:dyDescent="0.25">
      <c r="A18" s="61">
        <f>Projects!A19</f>
        <v>17</v>
      </c>
      <c r="B18" s="286" t="str">
        <f>Projects!B19</f>
        <v>Project 17</v>
      </c>
      <c r="C18" s="286" t="str">
        <f>IF(LEN(Projects!C19)&gt;0,Projects!C19,"")</f>
        <v>Cecilia Argueta</v>
      </c>
      <c r="D18" s="287" t="str">
        <f>IF(LEN(Projects!D19)&gt;0,Projects!D19,"")</f>
        <v>Cégep Marie-Victorin</v>
      </c>
      <c r="E18" s="286" t="str">
        <f>IF(LEN(Projects!F19)&gt;0,Projects!F19,"")</f>
        <v/>
      </c>
      <c r="F18" s="288" t="str">
        <f>IF(LEN($K$1)&gt;0,IF(AND(LEN(D18)&gt;0,VLOOKUP($K$1,Markers!A:D,3,FALSE)='Marker Project - template'!D18),"SAME ORGANIZATION",IF(ISNA(VLOOKUP(A18,Projects!A:G,5,FALSE)),"",IF(VLOOKUP(A18,Projects!A:G,7,FALSE)='Marker Project - template'!$K$1,"MENTOR",""))),"")</f>
        <v/>
      </c>
      <c r="G18" s="289"/>
    </row>
    <row r="19" spans="1:7" x14ac:dyDescent="0.25">
      <c r="A19" s="61">
        <f>Projects!A20</f>
        <v>18</v>
      </c>
      <c r="B19" s="286" t="str">
        <f>Projects!B20</f>
        <v>Project 18</v>
      </c>
      <c r="C19" s="286" t="str">
        <f>IF(LEN(Projects!C20)&gt;0,Projects!C20,"")</f>
        <v>Janella Heeter</v>
      </c>
      <c r="D19" s="287" t="str">
        <f>IF(LEN(Projects!D20)&gt;0,Projects!D20,"")</f>
        <v>Concordia University</v>
      </c>
      <c r="E19" s="286" t="str">
        <f>IF(LEN(Projects!F20)&gt;0,Projects!F20,"")</f>
        <v/>
      </c>
      <c r="F19" s="288" t="str">
        <f>IF(LEN($K$1)&gt;0,IF(AND(LEN(D19)&gt;0,VLOOKUP($K$1,Markers!A:D,3,FALSE)='Marker Project - template'!D19),"SAME ORGANIZATION",IF(ISNA(VLOOKUP(A19,Projects!A:G,5,FALSE)),"",IF(VLOOKUP(A19,Projects!A:G,7,FALSE)='Marker Project - template'!$K$1,"MENTOR",""))),"")</f>
        <v/>
      </c>
      <c r="G19" s="289"/>
    </row>
    <row r="20" spans="1:7" x14ac:dyDescent="0.25">
      <c r="A20" s="61">
        <f>Projects!A21</f>
        <v>19</v>
      </c>
      <c r="B20" s="286" t="str">
        <f>Projects!B21</f>
        <v>Project 19</v>
      </c>
      <c r="C20" s="286" t="str">
        <f>IF(LEN(Projects!C21)&gt;0,Projects!C21,"")</f>
        <v>Reta Godard</v>
      </c>
      <c r="D20" s="287" t="str">
        <f>IF(LEN(Projects!D21)&gt;0,Projects!D21,"")</f>
        <v>Dalhousie University</v>
      </c>
      <c r="E20" s="286" t="str">
        <f>IF(LEN(Projects!F21)&gt;0,Projects!F21,"")</f>
        <v/>
      </c>
      <c r="F20" s="288" t="str">
        <f>IF(LEN($K$1)&gt;0,IF(AND(LEN(D20)&gt;0,VLOOKUP($K$1,Markers!A:D,3,FALSE)='Marker Project - template'!D20),"SAME ORGANIZATION",IF(ISNA(VLOOKUP(A20,Projects!A:G,5,FALSE)),"",IF(VLOOKUP(A20,Projects!A:G,7,FALSE)='Marker Project - template'!$K$1,"MENTOR",""))),"")</f>
        <v/>
      </c>
      <c r="G20" s="289"/>
    </row>
    <row r="21" spans="1:7" x14ac:dyDescent="0.25">
      <c r="A21" s="61">
        <f>Projects!A22</f>
        <v>20</v>
      </c>
      <c r="B21" s="286" t="str">
        <f>Projects!B22</f>
        <v>Project 20</v>
      </c>
      <c r="C21" s="286" t="str">
        <f>IF(LEN(Projects!C22)&gt;0,Projects!C22,"")</f>
        <v>Irene Eagles</v>
      </c>
      <c r="D21" s="287" t="str">
        <f>IF(LEN(Projects!D22)&gt;0,Projects!D22,"")</f>
        <v>George Brown College</v>
      </c>
      <c r="E21" s="286" t="str">
        <f>IF(LEN(Projects!F22)&gt;0,Projects!F22,"")</f>
        <v/>
      </c>
      <c r="F21" s="288" t="str">
        <f>IF(LEN($K$1)&gt;0,IF(AND(LEN(D21)&gt;0,VLOOKUP($K$1,Markers!A:D,3,FALSE)='Marker Project - template'!D21),"SAME ORGANIZATION",IF(ISNA(VLOOKUP(A21,Projects!A:G,5,FALSE)),"",IF(VLOOKUP(A21,Projects!A:G,7,FALSE)='Marker Project - template'!$K$1,"MENTOR",""))),"")</f>
        <v/>
      </c>
      <c r="G21" s="289"/>
    </row>
    <row r="22" spans="1:7" x14ac:dyDescent="0.25">
      <c r="A22" s="61">
        <f>Projects!A23</f>
        <v>21</v>
      </c>
      <c r="B22" s="286" t="str">
        <f>Projects!B23</f>
        <v>Project 21</v>
      </c>
      <c r="C22" s="286" t="str">
        <f>IF(LEN(Projects!C23)&gt;0,Projects!C23,"")</f>
        <v>Christin Mabrey</v>
      </c>
      <c r="D22" s="287" t="str">
        <f>IF(LEN(Projects!D23)&gt;0,Projects!D23,"")</f>
        <v>Medicine Hat College</v>
      </c>
      <c r="E22" s="286" t="str">
        <f>IF(LEN(Projects!F23)&gt;0,Projects!F23,"")</f>
        <v/>
      </c>
      <c r="F22" s="288" t="str">
        <f>IF(LEN($K$1)&gt;0,IF(AND(LEN(D22)&gt;0,VLOOKUP($K$1,Markers!A:D,3,FALSE)='Marker Project - template'!D22),"SAME ORGANIZATION",IF(ISNA(VLOOKUP(A22,Projects!A:G,5,FALSE)),"",IF(VLOOKUP(A22,Projects!A:G,7,FALSE)='Marker Project - template'!$K$1,"MENTOR",""))),"")</f>
        <v/>
      </c>
      <c r="G22" s="289"/>
    </row>
    <row r="23" spans="1:7" x14ac:dyDescent="0.25">
      <c r="A23" s="61">
        <f>Projects!A24</f>
        <v>22</v>
      </c>
      <c r="B23" s="286" t="str">
        <f>Projects!B24</f>
        <v>Project 22</v>
      </c>
      <c r="C23" s="286" t="str">
        <f>IF(LEN(Projects!C24)&gt;0,Projects!C24,"")</f>
        <v>Jinny Dilorenzo</v>
      </c>
      <c r="D23" s="287" t="str">
        <f>IF(LEN(Projects!D24)&gt;0,Projects!D24,"")</f>
        <v>Nipissing University</v>
      </c>
      <c r="E23" s="286" t="str">
        <f>IF(LEN(Projects!F24)&gt;0,Projects!F24,"")</f>
        <v/>
      </c>
      <c r="F23" s="288" t="str">
        <f>IF(LEN($K$1)&gt;0,IF(AND(LEN(D23)&gt;0,VLOOKUP($K$1,Markers!A:D,3,FALSE)='Marker Project - template'!D23),"SAME ORGANIZATION",IF(ISNA(VLOOKUP(A23,Projects!A:G,5,FALSE)),"",IF(VLOOKUP(A23,Projects!A:G,7,FALSE)='Marker Project - template'!$K$1,"MENTOR",""))),"")</f>
        <v/>
      </c>
      <c r="G23" s="289"/>
    </row>
    <row r="24" spans="1:7" x14ac:dyDescent="0.25">
      <c r="A24" s="61">
        <f>Projects!A25</f>
        <v>23</v>
      </c>
      <c r="B24" s="286" t="str">
        <f>Projects!B25</f>
        <v>Project 23</v>
      </c>
      <c r="C24" s="286" t="str">
        <f>IF(LEN(Projects!C25)&gt;0,Projects!C25,"")</f>
        <v>Yajaira Abbe</v>
      </c>
      <c r="D24" s="287" t="str">
        <f>IF(LEN(Projects!D25)&gt;0,Projects!D25,"")</f>
        <v>North Island College</v>
      </c>
      <c r="E24" s="286" t="str">
        <f>IF(LEN(Projects!F25)&gt;0,Projects!F25,"")</f>
        <v/>
      </c>
      <c r="F24" s="288" t="str">
        <f>IF(LEN($K$1)&gt;0,IF(AND(LEN(D24)&gt;0,VLOOKUP($K$1,Markers!A:D,3,FALSE)='Marker Project - template'!D24),"SAME ORGANIZATION",IF(ISNA(VLOOKUP(A24,Projects!A:G,5,FALSE)),"",IF(VLOOKUP(A24,Projects!A:G,7,FALSE)='Marker Project - template'!$K$1,"MENTOR",""))),"")</f>
        <v/>
      </c>
      <c r="G24" s="289"/>
    </row>
    <row r="25" spans="1:7" x14ac:dyDescent="0.25">
      <c r="A25" s="61">
        <f>Projects!A26</f>
        <v>24</v>
      </c>
      <c r="B25" s="286" t="str">
        <f>Projects!B26</f>
        <v>Project 24</v>
      </c>
      <c r="C25" s="286" t="str">
        <f>IF(LEN(Projects!C26)&gt;0,Projects!C26,"")</f>
        <v>Misti Joslyn</v>
      </c>
      <c r="D25" s="287" t="str">
        <f>IF(LEN(Projects!D26)&gt;0,Projects!D26,"")</f>
        <v>St. Lawrence College</v>
      </c>
      <c r="E25" s="286" t="str">
        <f>IF(LEN(Projects!F26)&gt;0,Projects!F26,"")</f>
        <v/>
      </c>
      <c r="F25" s="288" t="str">
        <f>IF(LEN($K$1)&gt;0,IF(AND(LEN(D25)&gt;0,VLOOKUP($K$1,Markers!A:D,3,FALSE)='Marker Project - template'!D25),"SAME ORGANIZATION",IF(ISNA(VLOOKUP(A25,Projects!A:G,5,FALSE)),"",IF(VLOOKUP(A25,Projects!A:G,7,FALSE)='Marker Project - template'!$K$1,"MENTOR",""))),"")</f>
        <v/>
      </c>
      <c r="G25" s="289"/>
    </row>
    <row r="26" spans="1:7" x14ac:dyDescent="0.25">
      <c r="A26" s="61">
        <f>Projects!A27</f>
        <v>25</v>
      </c>
      <c r="B26" s="286" t="str">
        <f>Projects!B27</f>
        <v>Project 25</v>
      </c>
      <c r="C26" s="286" t="str">
        <f>IF(LEN(Projects!C27)&gt;0,Projects!C27,"")</f>
        <v>Norbert Trice</v>
      </c>
      <c r="D26" s="287" t="str">
        <f>IF(LEN(Projects!D27)&gt;0,Projects!D27,"")</f>
        <v>University of Guelph</v>
      </c>
      <c r="E26" s="286" t="str">
        <f>IF(LEN(Projects!F27)&gt;0,Projects!F27,"")</f>
        <v/>
      </c>
      <c r="F26" s="288" t="str">
        <f>IF(LEN($K$1)&gt;0,IF(AND(LEN(D26)&gt;0,VLOOKUP($K$1,Markers!A:D,3,FALSE)='Marker Project - template'!D26),"SAME ORGANIZATION",IF(ISNA(VLOOKUP(A26,Projects!A:G,5,FALSE)),"",IF(VLOOKUP(A26,Projects!A:G,7,FALSE)='Marker Project - template'!$K$1,"MENTOR",""))),"")</f>
        <v/>
      </c>
      <c r="G26" s="289"/>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8D0E-7AA5-47B3-963D-D24F7FE25DF6}">
  <sheetPr codeName="Sheet25">
    <tabColor theme="5" tint="0.79998168889431442"/>
  </sheetPr>
  <dimension ref="A1:F12"/>
  <sheetViews>
    <sheetView zoomScale="145" zoomScaleNormal="145" workbookViewId="0">
      <pane ySplit="1" topLeftCell="A2" activePane="bottomLeft" state="frozen"/>
      <selection activeCell="D23" sqref="D23"/>
      <selection pane="bottomLeft" activeCell="D23" sqref="D23"/>
    </sheetView>
  </sheetViews>
  <sheetFormatPr defaultColWidth="9.140625" defaultRowHeight="15" x14ac:dyDescent="0.25"/>
  <cols>
    <col min="1" max="1" width="14.5703125" style="4" customWidth="1"/>
    <col min="2" max="2" width="34.85546875" customWidth="1"/>
    <col min="3" max="3" width="34.28515625" style="103" customWidth="1"/>
    <col min="4" max="4" width="2.28515625" customWidth="1"/>
    <col min="5" max="5" width="18" customWidth="1"/>
    <col min="6" max="6" width="23" customWidth="1"/>
  </cols>
  <sheetData>
    <row r="1" spans="1:6" ht="60" x14ac:dyDescent="0.25">
      <c r="A1" s="291" t="s">
        <v>206</v>
      </c>
      <c r="B1" s="72" t="s">
        <v>317</v>
      </c>
      <c r="C1" s="189" t="s">
        <v>318</v>
      </c>
      <c r="D1" s="285"/>
      <c r="E1" s="88" t="s">
        <v>182</v>
      </c>
      <c r="F1" s="61"/>
    </row>
    <row r="2" spans="1:6" ht="15.75" customHeight="1" x14ac:dyDescent="0.25">
      <c r="A2" s="292">
        <f>IF(Keywords!A3&gt;0,Keywords!A3,"")</f>
        <v>1</v>
      </c>
      <c r="B2" s="292" t="str">
        <f>IF(Keywords!C3&gt;0,Keywords!C3,"")</f>
        <v>Keyword 1</v>
      </c>
      <c r="C2" s="289"/>
      <c r="D2" s="285"/>
      <c r="E2" s="81" t="s">
        <v>181</v>
      </c>
      <c r="F2" s="290"/>
    </row>
    <row r="3" spans="1:6" x14ac:dyDescent="0.25">
      <c r="A3" s="292">
        <f>IF(Keywords!A4&gt;0,Keywords!A4,"")</f>
        <v>2</v>
      </c>
      <c r="B3" s="292" t="str">
        <f>IF(Keywords!C4&gt;0,Keywords!C4,"")</f>
        <v>Keyword 2</v>
      </c>
      <c r="C3" s="289"/>
    </row>
    <row r="4" spans="1:6" x14ac:dyDescent="0.25">
      <c r="A4" s="292">
        <f>IF(Keywords!A5&gt;0,Keywords!A5,"")</f>
        <v>3</v>
      </c>
      <c r="B4" s="292" t="str">
        <f>IF(Keywords!C5&gt;0,Keywords!C5,"")</f>
        <v>Keyword 3</v>
      </c>
      <c r="C4" s="289"/>
    </row>
    <row r="5" spans="1:6" x14ac:dyDescent="0.25">
      <c r="A5" s="292">
        <f>IF(Keywords!A6&gt;0,Keywords!A6,"")</f>
        <v>4</v>
      </c>
      <c r="B5" s="292" t="str">
        <f>IF(Keywords!C6&gt;0,Keywords!C6,"")</f>
        <v>Keyword 4</v>
      </c>
      <c r="C5" s="289"/>
    </row>
    <row r="6" spans="1:6" x14ac:dyDescent="0.25">
      <c r="A6" s="292">
        <f>IF(Keywords!A7&gt;0,Keywords!A7,"")</f>
        <v>5</v>
      </c>
      <c r="B6" s="292" t="str">
        <f>IF(Keywords!C7&gt;0,Keywords!C7,"")</f>
        <v>Keyword 5</v>
      </c>
      <c r="C6" s="289"/>
    </row>
    <row r="7" spans="1:6" x14ac:dyDescent="0.25">
      <c r="A7" s="292">
        <f>IF(Keywords!A8&gt;0,Keywords!A8,"")</f>
        <v>6</v>
      </c>
      <c r="B7" s="292" t="str">
        <f>IF(Keywords!C8&gt;0,Keywords!C8,"")</f>
        <v>Keyword 6</v>
      </c>
      <c r="C7" s="289"/>
    </row>
    <row r="8" spans="1:6" x14ac:dyDescent="0.25">
      <c r="A8" s="292">
        <f>IF(Keywords!A9&gt;0,Keywords!A9,"")</f>
        <v>7</v>
      </c>
      <c r="B8" s="292" t="str">
        <f>IF(Keywords!C9&gt;0,Keywords!C9,"")</f>
        <v>Keyword 7</v>
      </c>
      <c r="C8" s="289"/>
    </row>
    <row r="9" spans="1:6" x14ac:dyDescent="0.25">
      <c r="A9" s="292">
        <f>IF(Keywords!A10&gt;0,Keywords!A10,"")</f>
        <v>8</v>
      </c>
      <c r="B9" s="292" t="str">
        <f>IF(Keywords!C10&gt;0,Keywords!C10,"")</f>
        <v>Keyword 8</v>
      </c>
      <c r="C9" s="289"/>
    </row>
    <row r="10" spans="1:6" x14ac:dyDescent="0.25">
      <c r="A10" s="292">
        <f>IF(Keywords!A11&gt;0,Keywords!A11,"")</f>
        <v>9</v>
      </c>
      <c r="B10" s="292" t="str">
        <f>IF(Keywords!C11&gt;0,Keywords!C11,"")</f>
        <v>Keyword 9</v>
      </c>
      <c r="C10" s="289"/>
    </row>
    <row r="11" spans="1:6" x14ac:dyDescent="0.25">
      <c r="A11" s="292">
        <f>IF(Keywords!A12&gt;0,Keywords!A12,"")</f>
        <v>10</v>
      </c>
      <c r="B11" s="292" t="str">
        <f>IF(Keywords!C12&gt;0,Keywords!C12,"")</f>
        <v>Keyword 10</v>
      </c>
      <c r="C11" s="289"/>
    </row>
    <row r="12" spans="1:6" x14ac:dyDescent="0.25">
      <c r="A12" s="292">
        <f>IF(Keywords!A13&gt;0,Keywords!A13,"")</f>
        <v>11</v>
      </c>
      <c r="B12" s="292" t="str">
        <f>IF(Keywords!C13&gt;0,Keywords!C13,"")</f>
        <v>Keyword 11</v>
      </c>
      <c r="C12" s="289"/>
    </row>
  </sheetData>
  <autoFilter ref="C1:C12"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88F8C-8B43-4FD5-8BD2-A79A09FC4A0F}">
  <sheetPr codeName="Sheet29">
    <tabColor theme="5" tint="0.79998168889431442"/>
  </sheetPr>
  <dimension ref="A1:C9"/>
  <sheetViews>
    <sheetView zoomScale="130" zoomScaleNormal="130" workbookViewId="0">
      <pane ySplit="8" topLeftCell="A9" activePane="bottomLeft" state="frozen"/>
      <selection activeCell="D23" sqref="D23"/>
      <selection pane="bottomLeft" activeCell="D23" sqref="D23"/>
    </sheetView>
  </sheetViews>
  <sheetFormatPr defaultRowHeight="15" x14ac:dyDescent="0.25"/>
  <cols>
    <col min="1" max="1" width="14.42578125" customWidth="1"/>
    <col min="2" max="2" width="94.5703125" customWidth="1"/>
    <col min="3" max="3" width="30.42578125" customWidth="1"/>
  </cols>
  <sheetData>
    <row r="1" spans="1:3" x14ac:dyDescent="0.25">
      <c r="A1" s="411" t="str">
        <f>"Attached are score and comment sheets for submissions to  the "&amp;'Competition Parameters'!C7&amp;" competition."</f>
        <v>Attached are score and comment sheets for submissions to  the AN EXCITING PROGRAM/COMPETITION competition.</v>
      </c>
      <c r="B1" s="411"/>
      <c r="C1" s="411"/>
    </row>
    <row r="2" spans="1:3" ht="78" customHeight="1" x14ac:dyDescent="0.25">
      <c r="A2" s="412" t="s">
        <v>319</v>
      </c>
      <c r="B2" s="412"/>
      <c r="C2" s="412"/>
    </row>
    <row r="3" spans="1:3" ht="30" customHeight="1" x14ac:dyDescent="0.25">
      <c r="A3" s="412" t="s">
        <v>320</v>
      </c>
      <c r="B3" s="412"/>
      <c r="C3" s="412"/>
    </row>
    <row r="4" spans="1:3" x14ac:dyDescent="0.25">
      <c r="A4" s="413" t="str">
        <f>"For more information see: " &amp; 'Competition Parameters'!C9</f>
        <v xml:space="preserve">For more information see: </v>
      </c>
      <c r="B4" s="413"/>
      <c r="C4" s="413"/>
    </row>
    <row r="5" spans="1:3" x14ac:dyDescent="0.25">
      <c r="A5" s="414" t="s">
        <v>321</v>
      </c>
      <c r="B5" s="414"/>
      <c r="C5" s="414"/>
    </row>
    <row r="6" spans="1:3" ht="12" customHeight="1" x14ac:dyDescent="0.25">
      <c r="A6" s="29" t="s">
        <v>322</v>
      </c>
      <c r="B6" s="293">
        <f>COUNTIF(B8:B9,"&lt;&gt;"&amp;"")</f>
        <v>0</v>
      </c>
      <c r="C6" s="42"/>
    </row>
    <row r="7" spans="1:3" x14ac:dyDescent="0.25">
      <c r="A7" s="294" t="s">
        <v>323</v>
      </c>
      <c r="B7" s="295" t="s">
        <v>324</v>
      </c>
      <c r="C7" s="296" t="s">
        <v>325</v>
      </c>
    </row>
    <row r="8" spans="1:3" x14ac:dyDescent="0.25">
      <c r="A8" s="289"/>
      <c r="B8" s="297"/>
      <c r="C8" s="298"/>
    </row>
    <row r="9" spans="1:3" x14ac:dyDescent="0.25">
      <c r="A9" s="289"/>
      <c r="B9" s="297"/>
      <c r="C9" s="298"/>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6BD48-1723-4E96-B2A4-E3B835C1752B}">
  <sheetPr codeName="Sheet8">
    <tabColor theme="5" tint="0.79998168889431442"/>
  </sheetPr>
  <dimension ref="A1:K26"/>
  <sheetViews>
    <sheetView zoomScale="145" zoomScaleNormal="145" workbookViewId="0">
      <selection activeCell="D23" sqref="D23"/>
    </sheetView>
  </sheetViews>
  <sheetFormatPr defaultRowHeight="15" x14ac:dyDescent="0.25"/>
  <cols>
    <col min="1" max="1" width="17.28515625" customWidth="1"/>
    <col min="3" max="3" width="14" customWidth="1"/>
    <col min="5" max="5" width="11" bestFit="1" customWidth="1"/>
  </cols>
  <sheetData>
    <row r="1" spans="1:11" ht="18.75" x14ac:dyDescent="0.3">
      <c r="A1" s="183" t="s">
        <v>326</v>
      </c>
      <c r="B1" s="428" t="str">
        <f>'Competition Parameters'!C7</f>
        <v>AN EXCITING PROGRAM/COMPETITION</v>
      </c>
      <c r="C1" s="428"/>
      <c r="D1" s="428"/>
      <c r="E1" s="428"/>
      <c r="F1" s="428"/>
      <c r="G1" s="428"/>
      <c r="H1" s="153" t="s">
        <v>327</v>
      </c>
      <c r="I1" s="54"/>
      <c r="J1" s="54"/>
      <c r="K1" s="299"/>
    </row>
    <row r="2" spans="1:11" x14ac:dyDescent="0.25">
      <c r="A2" s="150" t="s">
        <v>182</v>
      </c>
      <c r="B2" s="429" t="e">
        <f>VLOOKUP(B3,Markers!A:B,2,FALSE)</f>
        <v>#N/A</v>
      </c>
      <c r="C2" s="430"/>
      <c r="D2" s="430"/>
      <c r="E2" s="430"/>
      <c r="F2" s="431"/>
      <c r="G2" s="432" t="s">
        <v>328</v>
      </c>
      <c r="H2" s="432"/>
      <c r="I2" s="432"/>
      <c r="J2" s="432"/>
      <c r="K2" s="433"/>
    </row>
    <row r="3" spans="1:11" ht="15.75" thickBot="1" x14ac:dyDescent="0.3">
      <c r="A3" s="300" t="s">
        <v>181</v>
      </c>
      <c r="B3" s="301"/>
      <c r="G3" s="434"/>
      <c r="H3" s="434"/>
      <c r="I3" s="434"/>
      <c r="J3" s="434"/>
      <c r="K3" s="435"/>
    </row>
    <row r="4" spans="1:11" ht="15.75" thickBot="1" x14ac:dyDescent="0.3">
      <c r="A4" s="302" t="s">
        <v>323</v>
      </c>
      <c r="B4" s="303"/>
      <c r="C4" s="304" t="s">
        <v>329</v>
      </c>
      <c r="D4" s="304"/>
      <c r="E4" s="303"/>
      <c r="F4" s="302"/>
      <c r="G4" s="302"/>
      <c r="H4" s="302"/>
      <c r="I4" s="302"/>
      <c r="J4" s="302"/>
      <c r="K4" s="302"/>
    </row>
    <row r="5" spans="1:11" ht="15.75" thickBot="1" x14ac:dyDescent="0.3">
      <c r="A5" s="305" t="s">
        <v>330</v>
      </c>
      <c r="B5" s="436" t="e">
        <f>VLOOKUP(B4,Projects!A:B,2,FALSE)</f>
        <v>#N/A</v>
      </c>
      <c r="C5" s="436"/>
      <c r="D5" s="436"/>
      <c r="E5" s="436"/>
      <c r="F5" s="436"/>
      <c r="G5" s="436"/>
      <c r="H5" s="436"/>
      <c r="I5" s="436"/>
      <c r="J5" s="436"/>
      <c r="K5" s="437"/>
    </row>
    <row r="6" spans="1:11" ht="15.75" thickBot="1" x14ac:dyDescent="0.3">
      <c r="A6" s="438" t="s">
        <v>331</v>
      </c>
      <c r="B6" s="439"/>
      <c r="C6" s="439"/>
      <c r="D6" s="439"/>
      <c r="E6" s="439"/>
      <c r="F6" s="439"/>
      <c r="G6" s="439"/>
      <c r="H6" s="439"/>
      <c r="I6" s="439"/>
      <c r="J6" s="440"/>
      <c r="K6" s="306"/>
    </row>
    <row r="7" spans="1:11" x14ac:dyDescent="0.25">
      <c r="A7" s="307" t="s">
        <v>332</v>
      </c>
      <c r="B7" s="308"/>
      <c r="C7" s="308"/>
      <c r="D7" s="308"/>
      <c r="E7" s="308"/>
      <c r="F7" s="308"/>
      <c r="G7" s="308"/>
      <c r="H7" s="308"/>
      <c r="I7" s="308"/>
      <c r="J7" s="308"/>
      <c r="K7" s="309"/>
    </row>
    <row r="8" spans="1:11" ht="16.5" thickBot="1" x14ac:dyDescent="0.3">
      <c r="A8" s="32" t="s">
        <v>333</v>
      </c>
      <c r="B8" s="310"/>
      <c r="C8" s="311"/>
      <c r="D8" s="33" t="s">
        <v>334</v>
      </c>
      <c r="E8" s="310"/>
      <c r="F8" s="311"/>
      <c r="G8" s="33" t="s">
        <v>335</v>
      </c>
      <c r="H8" s="310"/>
      <c r="I8" s="311"/>
      <c r="J8" s="441" t="str">
        <f>IF(OR(AND( LEN(B8)&gt;0,LEN(E8)&gt;0),AND(LEN(B8)&gt;0,LEN(H8)&gt;0),AND(LEN(E8)&gt;0,LEN(H8)&gt;0)),"Only check one box","")</f>
        <v/>
      </c>
      <c r="K8" s="442"/>
    </row>
    <row r="9" spans="1:11" x14ac:dyDescent="0.25">
      <c r="A9" s="427" t="s">
        <v>336</v>
      </c>
      <c r="B9" s="427"/>
      <c r="C9" s="427"/>
      <c r="D9" s="427"/>
      <c r="E9" s="427"/>
      <c r="F9" s="427"/>
      <c r="G9" s="427"/>
      <c r="H9" s="427"/>
      <c r="I9" s="427"/>
      <c r="J9" s="427"/>
      <c r="K9" s="427"/>
    </row>
    <row r="10" spans="1:11" ht="75.75" customHeight="1" thickBot="1" x14ac:dyDescent="0.3">
      <c r="A10" s="424"/>
      <c r="B10" s="425"/>
      <c r="C10" s="425"/>
      <c r="D10" s="425"/>
      <c r="E10" s="425"/>
      <c r="F10" s="425"/>
      <c r="G10" s="425"/>
      <c r="H10" s="425"/>
      <c r="I10" s="425"/>
      <c r="J10" s="425"/>
      <c r="K10" s="426"/>
    </row>
    <row r="11" spans="1:11" ht="15.75" thickBot="1" x14ac:dyDescent="0.3">
      <c r="A11" s="415"/>
      <c r="B11" s="415"/>
      <c r="C11" s="415"/>
      <c r="D11" s="415"/>
      <c r="E11" s="415"/>
      <c r="F11" s="415"/>
      <c r="G11" s="415"/>
      <c r="H11" s="415"/>
      <c r="I11" s="415"/>
      <c r="J11" s="415"/>
      <c r="K11" s="415"/>
    </row>
    <row r="12" spans="1:11" x14ac:dyDescent="0.25">
      <c r="A12" s="312" t="s">
        <v>56</v>
      </c>
      <c r="B12" s="313">
        <v>1</v>
      </c>
      <c r="C12" s="314" t="s">
        <v>337</v>
      </c>
      <c r="D12" s="416" t="str">
        <f>VLOOKUP('Scores and Comments - template'!B12,Criteria!$A:$B,2,FALSE)</f>
        <v>Criteria 1</v>
      </c>
      <c r="E12" s="416"/>
      <c r="F12" s="416"/>
      <c r="G12" s="416"/>
      <c r="H12" s="416"/>
      <c r="I12" s="416"/>
      <c r="J12" s="416"/>
      <c r="K12" s="417"/>
    </row>
    <row r="13" spans="1:11" x14ac:dyDescent="0.25">
      <c r="A13" s="115" t="s">
        <v>287</v>
      </c>
      <c r="B13" s="315">
        <f>VLOOKUP(B12,Criteria!$A:$D,3,FALSE)</f>
        <v>1</v>
      </c>
      <c r="C13" s="158" t="s">
        <v>288</v>
      </c>
      <c r="D13" s="315">
        <f>VLOOKUP(B12,Criteria!$A:$D,4,FALSE)</f>
        <v>5</v>
      </c>
      <c r="E13" s="316" t="s">
        <v>338</v>
      </c>
      <c r="F13" s="317"/>
      <c r="G13" s="418"/>
      <c r="H13" s="419"/>
      <c r="I13" s="419"/>
      <c r="J13" s="419"/>
      <c r="K13" s="420"/>
    </row>
    <row r="14" spans="1:11" x14ac:dyDescent="0.25">
      <c r="A14" s="421" t="s">
        <v>339</v>
      </c>
      <c r="B14" s="422"/>
      <c r="C14" s="422"/>
      <c r="D14" s="422"/>
      <c r="E14" s="422"/>
      <c r="F14" s="422"/>
      <c r="G14" s="422"/>
      <c r="H14" s="422"/>
      <c r="I14" s="422"/>
      <c r="J14" s="422"/>
      <c r="K14" s="423"/>
    </row>
    <row r="15" spans="1:11" ht="75.75" customHeight="1" thickBot="1" x14ac:dyDescent="0.3">
      <c r="A15" s="424"/>
      <c r="B15" s="425"/>
      <c r="C15" s="425"/>
      <c r="D15" s="425"/>
      <c r="E15" s="425"/>
      <c r="F15" s="425"/>
      <c r="G15" s="425"/>
      <c r="H15" s="425"/>
      <c r="I15" s="425"/>
      <c r="J15" s="425"/>
      <c r="K15" s="426"/>
    </row>
    <row r="16" spans="1:11" ht="15.75" thickBot="1" x14ac:dyDescent="0.3">
      <c r="A16" s="415"/>
      <c r="B16" s="415"/>
      <c r="C16" s="415"/>
      <c r="D16" s="415"/>
      <c r="E16" s="415"/>
      <c r="F16" s="415"/>
      <c r="G16" s="415"/>
      <c r="H16" s="415"/>
      <c r="I16" s="415"/>
      <c r="J16" s="415"/>
      <c r="K16" s="415"/>
    </row>
    <row r="17" spans="1:11" x14ac:dyDescent="0.25">
      <c r="A17" s="312" t="s">
        <v>56</v>
      </c>
      <c r="B17" s="313">
        <f>B12+1</f>
        <v>2</v>
      </c>
      <c r="C17" s="314" t="s">
        <v>337</v>
      </c>
      <c r="D17" s="416" t="str">
        <f>VLOOKUP('Scores and Comments - template'!B17,Criteria!$A:$B,2,FALSE)</f>
        <v>Criteria 2</v>
      </c>
      <c r="E17" s="416"/>
      <c r="F17" s="416"/>
      <c r="G17" s="416"/>
      <c r="H17" s="416"/>
      <c r="I17" s="416"/>
      <c r="J17" s="416"/>
      <c r="K17" s="417"/>
    </row>
    <row r="18" spans="1:11" x14ac:dyDescent="0.25">
      <c r="A18" s="115" t="s">
        <v>287</v>
      </c>
      <c r="B18" s="315">
        <f>VLOOKUP(B17,Criteria!$A:$D,3,FALSE)</f>
        <v>1</v>
      </c>
      <c r="C18" s="158" t="s">
        <v>288</v>
      </c>
      <c r="D18" s="315">
        <f>VLOOKUP(B17,Criteria!$A:$D,4,FALSE)</f>
        <v>5</v>
      </c>
      <c r="E18" s="316" t="s">
        <v>338</v>
      </c>
      <c r="F18" s="317"/>
      <c r="G18" s="418"/>
      <c r="H18" s="419"/>
      <c r="I18" s="419"/>
      <c r="J18" s="419"/>
      <c r="K18" s="420"/>
    </row>
    <row r="19" spans="1:11" x14ac:dyDescent="0.25">
      <c r="A19" s="421" t="s">
        <v>339</v>
      </c>
      <c r="B19" s="422"/>
      <c r="C19" s="422"/>
      <c r="D19" s="422"/>
      <c r="E19" s="422"/>
      <c r="F19" s="422"/>
      <c r="G19" s="422"/>
      <c r="H19" s="422"/>
      <c r="I19" s="422"/>
      <c r="J19" s="422"/>
      <c r="K19" s="423"/>
    </row>
    <row r="20" spans="1:11" ht="95.1" customHeight="1" thickBot="1" x14ac:dyDescent="0.3">
      <c r="A20" s="424"/>
      <c r="B20" s="425"/>
      <c r="C20" s="425"/>
      <c r="D20" s="425"/>
      <c r="E20" s="425"/>
      <c r="F20" s="425"/>
      <c r="G20" s="425"/>
      <c r="H20" s="425"/>
      <c r="I20" s="425"/>
      <c r="J20" s="425"/>
      <c r="K20" s="426"/>
    </row>
    <row r="21" spans="1:11" ht="15.75" thickBot="1" x14ac:dyDescent="0.3">
      <c r="A21" s="415"/>
      <c r="B21" s="415"/>
      <c r="C21" s="415"/>
      <c r="D21" s="415"/>
      <c r="E21" s="415"/>
      <c r="F21" s="415"/>
      <c r="G21" s="415"/>
      <c r="H21" s="415"/>
      <c r="I21" s="415"/>
      <c r="J21" s="415"/>
      <c r="K21" s="415"/>
    </row>
    <row r="22" spans="1:11" x14ac:dyDescent="0.25">
      <c r="A22" s="312" t="s">
        <v>56</v>
      </c>
      <c r="B22" s="313">
        <f>B17+1</f>
        <v>3</v>
      </c>
      <c r="C22" s="314" t="s">
        <v>337</v>
      </c>
      <c r="D22" s="416" t="str">
        <f>VLOOKUP('Scores and Comments - template'!B22,Criteria!$A:$B,2,FALSE)</f>
        <v>Criteria 3</v>
      </c>
      <c r="E22" s="416"/>
      <c r="F22" s="416"/>
      <c r="G22" s="416"/>
      <c r="H22" s="416"/>
      <c r="I22" s="416"/>
      <c r="J22" s="416"/>
      <c r="K22" s="417"/>
    </row>
    <row r="23" spans="1:11" x14ac:dyDescent="0.25">
      <c r="A23" s="115" t="s">
        <v>287</v>
      </c>
      <c r="B23" s="315">
        <f>VLOOKUP(B22,Criteria!$A:$D,3,FALSE)</f>
        <v>1</v>
      </c>
      <c r="C23" s="158" t="s">
        <v>288</v>
      </c>
      <c r="D23" s="315">
        <f>VLOOKUP(B22,Criteria!$A:$D,4,FALSE)</f>
        <v>5</v>
      </c>
      <c r="E23" s="316" t="s">
        <v>338</v>
      </c>
      <c r="F23" s="317"/>
      <c r="G23" s="418"/>
      <c r="H23" s="419"/>
      <c r="I23" s="419"/>
      <c r="J23" s="419"/>
      <c r="K23" s="420"/>
    </row>
    <row r="24" spans="1:11" x14ac:dyDescent="0.25">
      <c r="A24" s="421" t="s">
        <v>339</v>
      </c>
      <c r="B24" s="422"/>
      <c r="C24" s="422"/>
      <c r="D24" s="422"/>
      <c r="E24" s="422"/>
      <c r="F24" s="422"/>
      <c r="G24" s="422"/>
      <c r="H24" s="422"/>
      <c r="I24" s="422"/>
      <c r="J24" s="422"/>
      <c r="K24" s="423"/>
    </row>
    <row r="25" spans="1:11" ht="95.1" customHeight="1" thickBot="1" x14ac:dyDescent="0.3">
      <c r="A25" s="424"/>
      <c r="B25" s="425"/>
      <c r="C25" s="425"/>
      <c r="D25" s="425"/>
      <c r="E25" s="425"/>
      <c r="F25" s="425"/>
      <c r="G25" s="425"/>
      <c r="H25" s="425"/>
      <c r="I25" s="425"/>
      <c r="J25" s="425"/>
      <c r="K25" s="426"/>
    </row>
    <row r="26" spans="1:11" ht="20.100000000000001" customHeight="1" x14ac:dyDescent="0.25">
      <c r="A26" s="415" t="s">
        <v>366</v>
      </c>
      <c r="B26" s="415"/>
      <c r="C26" s="415"/>
      <c r="D26" s="415"/>
      <c r="E26" s="415"/>
      <c r="F26" s="415"/>
      <c r="G26" s="415"/>
      <c r="H26" s="415"/>
      <c r="I26" s="415"/>
      <c r="J26" s="415"/>
      <c r="K26" s="415"/>
    </row>
  </sheetData>
  <mergeCells count="24">
    <mergeCell ref="A14:K14"/>
    <mergeCell ref="B1:G1"/>
    <mergeCell ref="B2:F2"/>
    <mergeCell ref="G2:K3"/>
    <mergeCell ref="B5:K5"/>
    <mergeCell ref="A6:J6"/>
    <mergeCell ref="J8:K8"/>
    <mergeCell ref="A9:K9"/>
    <mergeCell ref="A10:K10"/>
    <mergeCell ref="A11:K11"/>
    <mergeCell ref="D12:K12"/>
    <mergeCell ref="G13:K13"/>
    <mergeCell ref="A26:K26"/>
    <mergeCell ref="A15:K15"/>
    <mergeCell ref="A16:K16"/>
    <mergeCell ref="D17:K17"/>
    <mergeCell ref="G18:K18"/>
    <mergeCell ref="A19:K19"/>
    <mergeCell ref="A20:K20"/>
    <mergeCell ref="A21:K21"/>
    <mergeCell ref="D22:K22"/>
    <mergeCell ref="G23:K23"/>
    <mergeCell ref="A24:K24"/>
    <mergeCell ref="A25:K25"/>
  </mergeCells>
  <dataValidations count="2">
    <dataValidation type="custom" allowBlank="1" showInputMessage="1" showErrorMessage="1" sqref="K6" xr:uid="{D819A141-94A5-44E1-A7E6-E5B01FC82473}">
      <formula1>OR(K6="YES",K6="NO")</formula1>
    </dataValidation>
    <dataValidation type="custom" allowBlank="1" showInputMessage="1" showErrorMessage="1" sqref="F13 F18 F23" xr:uid="{6508DC07-AAC0-43F1-9FAA-A6E274A61893}">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7F08-5C8A-4127-8DD4-6B0FDD6C8A80}">
  <sheetPr codeName="Sheet30">
    <tabColor theme="5" tint="0.79998168889431442"/>
  </sheetPr>
  <dimension ref="A1:K15"/>
  <sheetViews>
    <sheetView zoomScale="130" zoomScaleNormal="130" workbookViewId="0">
      <pane ySplit="8" topLeftCell="A9" activePane="bottomLeft" state="frozen"/>
      <selection activeCell="D23" sqref="D23"/>
      <selection pane="bottomLeft" activeCell="D23" sqref="D23"/>
    </sheetView>
  </sheetViews>
  <sheetFormatPr defaultRowHeight="15" x14ac:dyDescent="0.25"/>
  <cols>
    <col min="1" max="1" width="4.5703125" style="4" customWidth="1"/>
    <col min="2" max="2" width="39.85546875" customWidth="1"/>
    <col min="3" max="3" width="10.140625" customWidth="1"/>
    <col min="4" max="6" width="15.28515625" customWidth="1"/>
    <col min="7" max="7" width="9.85546875" customWidth="1"/>
    <col min="8" max="10" width="18" customWidth="1"/>
  </cols>
  <sheetData>
    <row r="1" spans="1:11" x14ac:dyDescent="0.25">
      <c r="A1" s="318" t="s">
        <v>340</v>
      </c>
      <c r="B1" s="319"/>
      <c r="C1" s="320" t="s">
        <v>341</v>
      </c>
      <c r="D1" s="321"/>
      <c r="E1" s="321"/>
      <c r="F1" s="321"/>
      <c r="G1" s="322"/>
      <c r="H1" s="54"/>
      <c r="I1" s="54"/>
      <c r="J1" s="54"/>
      <c r="K1" s="51">
        <f>G12</f>
        <v>0</v>
      </c>
    </row>
    <row r="2" spans="1:11" x14ac:dyDescent="0.25">
      <c r="A2" s="323" t="s">
        <v>342</v>
      </c>
      <c r="B2" s="324"/>
      <c r="C2" s="324"/>
      <c r="D2" s="324"/>
      <c r="E2" s="324"/>
      <c r="F2" s="324"/>
      <c r="G2" s="325"/>
      <c r="H2" s="325"/>
      <c r="I2" s="325"/>
      <c r="J2" s="325"/>
      <c r="K2" s="326"/>
    </row>
    <row r="3" spans="1:11" ht="15" customHeight="1" x14ac:dyDescent="0.25">
      <c r="A3" s="327" t="s">
        <v>343</v>
      </c>
      <c r="B3" s="328"/>
      <c r="C3" s="54"/>
      <c r="D3" s="329" t="s">
        <v>344</v>
      </c>
      <c r="E3" s="329"/>
      <c r="F3" s="329"/>
      <c r="G3" s="330"/>
      <c r="H3" s="331" t="s">
        <v>345</v>
      </c>
      <c r="I3" s="331"/>
      <c r="J3" s="331"/>
      <c r="K3" s="332"/>
    </row>
    <row r="4" spans="1:11" ht="15" customHeight="1" x14ac:dyDescent="0.25">
      <c r="A4" s="333" t="s">
        <v>346</v>
      </c>
      <c r="B4" s="334"/>
      <c r="C4" s="20" t="s">
        <v>56</v>
      </c>
      <c r="D4" s="59">
        <v>1</v>
      </c>
      <c r="E4" s="59">
        <v>2</v>
      </c>
      <c r="F4" s="59">
        <v>3</v>
      </c>
      <c r="G4" s="59"/>
      <c r="H4" s="59">
        <v>1</v>
      </c>
      <c r="I4" s="59">
        <v>2</v>
      </c>
      <c r="J4" s="59">
        <v>3</v>
      </c>
      <c r="K4" s="59"/>
    </row>
    <row r="5" spans="1:11" ht="30" x14ac:dyDescent="0.25">
      <c r="A5" s="335" t="s">
        <v>347</v>
      </c>
      <c r="B5" s="336"/>
      <c r="C5" s="337" t="s">
        <v>348</v>
      </c>
      <c r="D5" s="59" t="str">
        <f>Criteria!H10</f>
        <v>Criteria 1</v>
      </c>
      <c r="E5" s="59" t="str">
        <f>Criteria!I10</f>
        <v>Criteria 2</v>
      </c>
      <c r="F5" s="59" t="str">
        <f>Criteria!J10</f>
        <v>Criteria 3</v>
      </c>
      <c r="G5" s="59" t="s">
        <v>349</v>
      </c>
      <c r="H5" s="59" t="str">
        <f>D5</f>
        <v>Criteria 1</v>
      </c>
      <c r="I5" s="59" t="str">
        <f t="shared" ref="I5:J7" si="0">E5</f>
        <v>Criteria 2</v>
      </c>
      <c r="J5" s="59" t="str">
        <f t="shared" si="0"/>
        <v>Criteria 3</v>
      </c>
      <c r="K5" s="59" t="s">
        <v>350</v>
      </c>
    </row>
    <row r="6" spans="1:11" ht="18" customHeight="1" x14ac:dyDescent="0.25">
      <c r="A6" s="338" t="s">
        <v>351</v>
      </c>
      <c r="B6" s="339"/>
      <c r="C6" s="340" t="s">
        <v>352</v>
      </c>
      <c r="D6" s="59">
        <f>IF(LEN(D$5)&gt;0,Criteria!H11,"")</f>
        <v>1</v>
      </c>
      <c r="E6" s="59">
        <f>IF(LEN(E$5)&gt;0,Criteria!I11,"")</f>
        <v>1</v>
      </c>
      <c r="F6" s="59">
        <f>IF(LEN(F$5)&gt;0,Criteria!J11,"")</f>
        <v>1</v>
      </c>
      <c r="G6" s="51">
        <f>SUM(D6:F6)</f>
        <v>3</v>
      </c>
      <c r="H6" s="59">
        <f>D6</f>
        <v>1</v>
      </c>
      <c r="I6" s="59">
        <f t="shared" si="0"/>
        <v>1</v>
      </c>
      <c r="J6" s="59">
        <f t="shared" si="0"/>
        <v>1</v>
      </c>
      <c r="K6" s="51"/>
    </row>
    <row r="7" spans="1:11" ht="18" customHeight="1" x14ac:dyDescent="0.25">
      <c r="A7" s="341" t="s">
        <v>353</v>
      </c>
      <c r="B7" s="342"/>
      <c r="C7" s="340" t="s">
        <v>354</v>
      </c>
      <c r="D7" s="59">
        <f>IF(LEN(D$5)&gt;0,Criteria!H12,"")</f>
        <v>5</v>
      </c>
      <c r="E7" s="59">
        <f>IF(LEN(E$5)&gt;0,Criteria!I12,"")</f>
        <v>5</v>
      </c>
      <c r="F7" s="59">
        <f>IF(LEN(F$5)&gt;0,Criteria!J12,"")</f>
        <v>5</v>
      </c>
      <c r="G7" s="51">
        <f>SUM(D7:F7)</f>
        <v>15</v>
      </c>
      <c r="H7" s="51">
        <f>D7</f>
        <v>5</v>
      </c>
      <c r="I7" s="51">
        <f t="shared" si="0"/>
        <v>5</v>
      </c>
      <c r="J7" s="51">
        <f t="shared" si="0"/>
        <v>5</v>
      </c>
      <c r="K7" s="51"/>
    </row>
    <row r="8" spans="1:11" ht="47.25" customHeight="1" thickBot="1" x14ac:dyDescent="0.3">
      <c r="A8" s="343" t="s">
        <v>69</v>
      </c>
      <c r="B8" s="88" t="s">
        <v>73</v>
      </c>
      <c r="C8" s="344" t="s">
        <v>355</v>
      </c>
      <c r="D8" s="345" t="s">
        <v>356</v>
      </c>
      <c r="E8" s="345"/>
      <c r="F8" s="345"/>
      <c r="G8" s="346"/>
      <c r="H8" s="329" t="s">
        <v>291</v>
      </c>
      <c r="I8" s="329"/>
      <c r="J8" s="329"/>
      <c r="K8" s="347"/>
    </row>
    <row r="9" spans="1:11" x14ac:dyDescent="0.25">
      <c r="A9" s="51"/>
      <c r="B9" s="51"/>
      <c r="C9" s="6"/>
      <c r="D9" s="348"/>
      <c r="E9" s="348"/>
      <c r="F9" s="348"/>
      <c r="G9" s="349">
        <f>SUM(D9:F9)</f>
        <v>0</v>
      </c>
      <c r="H9" s="350" t="str">
        <f>IF(LEN(D9)&gt;0,D9/$G$11*$G$15,"")</f>
        <v/>
      </c>
      <c r="I9" s="350" t="str">
        <f t="shared" ref="I9:J10" si="1">IF(LEN(E9)&gt;0,E9/$G$11*$G$15,"")</f>
        <v/>
      </c>
      <c r="J9" s="350" t="str">
        <f t="shared" si="1"/>
        <v/>
      </c>
      <c r="K9" s="349">
        <f>SUM(H9:J9)</f>
        <v>0</v>
      </c>
    </row>
    <row r="10" spans="1:11" ht="15.75" thickBot="1" x14ac:dyDescent="0.3">
      <c r="A10" s="351"/>
      <c r="B10" s="206"/>
      <c r="C10" s="352"/>
      <c r="D10" s="353"/>
      <c r="E10" s="353"/>
      <c r="F10" s="353"/>
      <c r="G10" s="349">
        <f>SUM(D10:F10)</f>
        <v>0</v>
      </c>
      <c r="H10" s="350" t="str">
        <f>IF(LEN(D10)&gt;0,D10/$G$11*$G$15,"")</f>
        <v/>
      </c>
      <c r="I10" s="350" t="str">
        <f t="shared" si="1"/>
        <v/>
      </c>
      <c r="J10" s="350" t="str">
        <f t="shared" si="1"/>
        <v/>
      </c>
      <c r="K10" s="349">
        <f>SUM(H10:J10)</f>
        <v>0</v>
      </c>
    </row>
    <row r="11" spans="1:11" ht="15" customHeight="1" thickBot="1" x14ac:dyDescent="0.3">
      <c r="A11" s="354" t="s">
        <v>357</v>
      </c>
      <c r="B11" s="355"/>
      <c r="C11" s="356"/>
      <c r="D11" s="357"/>
      <c r="E11" s="357"/>
      <c r="F11" s="357"/>
      <c r="G11" s="349">
        <f>SUM(G9:G10)</f>
        <v>0</v>
      </c>
      <c r="H11" s="358"/>
      <c r="I11" s="358"/>
      <c r="J11" s="358"/>
      <c r="K11" s="359">
        <f>SUM(K9:K10)</f>
        <v>0</v>
      </c>
    </row>
    <row r="12" spans="1:11" x14ac:dyDescent="0.25">
      <c r="G12" s="360">
        <f>COUNTIF(A9:A10,"&gt;"&amp;0)</f>
        <v>0</v>
      </c>
      <c r="H12" s="321" t="s">
        <v>358</v>
      </c>
      <c r="I12" s="361"/>
      <c r="J12" s="362"/>
    </row>
    <row r="13" spans="1:11" x14ac:dyDescent="0.25">
      <c r="G13" s="363">
        <f>'Competition Parameters'!C6</f>
        <v>0.65</v>
      </c>
      <c r="H13" s="104" t="s">
        <v>359</v>
      </c>
      <c r="I13" s="364"/>
      <c r="J13" s="362"/>
    </row>
    <row r="14" spans="1:11" x14ac:dyDescent="0.25">
      <c r="G14" s="365" t="str">
        <f>IF(G11&lt;G15-G12*1,"Harsh",IF(G11&gt;G15+G12,"Generous","Neutral"))</f>
        <v>Neutral</v>
      </c>
      <c r="H14" s="321" t="s">
        <v>360</v>
      </c>
      <c r="I14" s="364"/>
      <c r="J14" s="362"/>
    </row>
    <row r="15" spans="1:11" x14ac:dyDescent="0.25">
      <c r="G15" s="51">
        <f>G7*G12*G13</f>
        <v>0</v>
      </c>
      <c r="H15" s="104" t="s">
        <v>282</v>
      </c>
      <c r="I15" s="364"/>
      <c r="J15" s="362"/>
    </row>
  </sheetData>
  <dataValidations count="1">
    <dataValidation type="decimal" allowBlank="1" showInputMessage="1" showErrorMessage="1" sqref="D9:F10" xr:uid="{480D560A-EF63-4CC8-AB53-93778B0C6849}">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05C35-4BFF-4F05-BA22-140E64783A4B}">
  <sheetPr codeName="Sheet26">
    <tabColor theme="9" tint="0.79998168889431442"/>
  </sheetPr>
  <dimension ref="A1:AA100"/>
  <sheetViews>
    <sheetView zoomScale="160" zoomScaleNormal="160" workbookViewId="0">
      <pane ySplit="2" topLeftCell="A3" activePane="bottomLeft" state="frozen"/>
      <selection activeCell="D23" sqref="D23"/>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42"/>
      <c r="C1" s="43" t="s">
        <v>54</v>
      </c>
      <c r="D1" s="43"/>
      <c r="E1" s="44"/>
      <c r="F1" s="44"/>
      <c r="G1" s="45" t="s">
        <v>55</v>
      </c>
      <c r="H1" s="46">
        <f>COUNTIF(B:B,"&lt;&gt;"&amp;"")-1</f>
        <v>3</v>
      </c>
      <c r="I1" s="44"/>
      <c r="J1" s="44"/>
      <c r="K1" s="44"/>
      <c r="L1" s="47"/>
    </row>
    <row r="2" spans="1:27" ht="30" x14ac:dyDescent="0.25">
      <c r="A2" s="48" t="s">
        <v>56</v>
      </c>
      <c r="B2" s="49" t="s">
        <v>57</v>
      </c>
      <c r="C2" s="48" t="s">
        <v>58</v>
      </c>
      <c r="D2" s="48" t="s">
        <v>59</v>
      </c>
      <c r="E2" s="48" t="s">
        <v>60</v>
      </c>
      <c r="F2" s="48"/>
      <c r="G2" s="5" t="s">
        <v>61</v>
      </c>
      <c r="H2" s="50">
        <f>SUMIF(B3:B6,"&lt;&gt;"&amp;"",D3:D6)</f>
        <v>15</v>
      </c>
      <c r="K2" s="4"/>
      <c r="L2" s="4"/>
      <c r="M2" s="4"/>
    </row>
    <row r="3" spans="1:27" ht="15.75" x14ac:dyDescent="0.25">
      <c r="A3" s="51">
        <v>1</v>
      </c>
      <c r="B3" s="4" t="s">
        <v>62</v>
      </c>
      <c r="C3" s="4">
        <v>1</v>
      </c>
      <c r="D3" s="4">
        <v>5</v>
      </c>
      <c r="E3" s="51" t="str">
        <f>C3 &amp; " to " &amp; D3</f>
        <v>1 to 5</v>
      </c>
      <c r="F3" s="52"/>
      <c r="G3" s="52" t="s">
        <v>63</v>
      </c>
      <c r="H3" s="50">
        <f>SUMIF(B3:B6,"&lt;&gt;"&amp;"",C3:C6)</f>
        <v>3</v>
      </c>
    </row>
    <row r="4" spans="1:27" x14ac:dyDescent="0.25">
      <c r="A4" s="51">
        <v>2</v>
      </c>
      <c r="B4" s="4" t="s">
        <v>64</v>
      </c>
      <c r="C4" s="4">
        <v>1</v>
      </c>
      <c r="D4" s="4">
        <v>5</v>
      </c>
      <c r="E4" s="51" t="str">
        <f t="shared" ref="E4:E11" si="0">C4 &amp; " to " &amp; D4</f>
        <v>1 to 5</v>
      </c>
      <c r="F4" s="52"/>
      <c r="G4" s="4"/>
    </row>
    <row r="5" spans="1:27" x14ac:dyDescent="0.25">
      <c r="A5" s="51">
        <v>3</v>
      </c>
      <c r="B5" s="4" t="s">
        <v>65</v>
      </c>
      <c r="C5" s="4">
        <v>1</v>
      </c>
      <c r="D5" s="4">
        <v>5</v>
      </c>
      <c r="E5" s="51" t="str">
        <f t="shared" si="0"/>
        <v>1 to 5</v>
      </c>
      <c r="F5" s="53"/>
      <c r="G5" s="384" t="s">
        <v>53</v>
      </c>
      <c r="H5" s="385"/>
    </row>
    <row r="6" spans="1:27" x14ac:dyDescent="0.25">
      <c r="A6" s="51">
        <v>4</v>
      </c>
      <c r="C6"/>
      <c r="D6"/>
      <c r="E6" s="51" t="str">
        <f t="shared" si="0"/>
        <v xml:space="preserve"> to </v>
      </c>
      <c r="F6" s="53"/>
      <c r="G6" s="384"/>
      <c r="H6" s="385"/>
    </row>
    <row r="7" spans="1:27" x14ac:dyDescent="0.25">
      <c r="A7" s="51">
        <v>5</v>
      </c>
      <c r="C7"/>
      <c r="D7"/>
      <c r="E7" s="51" t="str">
        <f t="shared" si="0"/>
        <v xml:space="preserve"> to </v>
      </c>
      <c r="F7" s="4"/>
      <c r="G7" s="4"/>
      <c r="H7" s="4"/>
      <c r="I7" s="4"/>
      <c r="J7" s="4"/>
      <c r="K7" s="4"/>
      <c r="M7" s="4"/>
      <c r="N7" s="4"/>
      <c r="O7" s="4"/>
    </row>
    <row r="8" spans="1:27" x14ac:dyDescent="0.25">
      <c r="A8" s="51">
        <v>6</v>
      </c>
      <c r="C8"/>
      <c r="D8"/>
      <c r="E8" s="51" t="str">
        <f t="shared" si="0"/>
        <v xml:space="preserve"> to </v>
      </c>
      <c r="G8" s="386" t="s">
        <v>66</v>
      </c>
      <c r="H8" s="386"/>
      <c r="I8" s="386"/>
      <c r="J8" s="42" t="s">
        <v>67</v>
      </c>
      <c r="K8" s="52"/>
      <c r="L8" s="54"/>
      <c r="M8" s="55"/>
      <c r="N8" s="55"/>
      <c r="O8" s="55"/>
      <c r="P8" s="54"/>
      <c r="Q8" s="54"/>
      <c r="R8" s="54"/>
      <c r="S8" s="54"/>
      <c r="T8" s="54"/>
      <c r="U8" s="54"/>
      <c r="V8" s="54"/>
      <c r="W8" s="54"/>
      <c r="X8" s="54"/>
      <c r="Y8" s="54"/>
      <c r="Z8" s="54"/>
      <c r="AA8" s="54"/>
    </row>
    <row r="9" spans="1:27" x14ac:dyDescent="0.25">
      <c r="A9" s="51">
        <v>7</v>
      </c>
      <c r="C9"/>
      <c r="D9"/>
      <c r="E9" s="51" t="str">
        <f t="shared" si="0"/>
        <v xml:space="preserve"> to </v>
      </c>
      <c r="G9" s="48" t="str">
        <f>A2</f>
        <v>Criteria #</v>
      </c>
      <c r="H9" s="51">
        <f>A3</f>
        <v>1</v>
      </c>
      <c r="I9" s="51">
        <f>A4</f>
        <v>2</v>
      </c>
      <c r="J9" s="51">
        <f>A5</f>
        <v>3</v>
      </c>
      <c r="K9" s="6">
        <v>4</v>
      </c>
      <c r="L9" s="56"/>
      <c r="M9" s="56"/>
      <c r="N9" s="56"/>
      <c r="O9" s="57"/>
      <c r="P9" s="56"/>
      <c r="Q9" s="56"/>
      <c r="R9" s="56"/>
      <c r="S9" s="51"/>
      <c r="T9" s="56"/>
      <c r="U9" s="56"/>
      <c r="V9" s="56"/>
      <c r="W9" s="56"/>
      <c r="X9" s="56"/>
      <c r="Y9" s="56"/>
      <c r="Z9" s="56"/>
      <c r="AA9" s="56"/>
    </row>
    <row r="10" spans="1:27" ht="30" x14ac:dyDescent="0.25">
      <c r="A10" s="51">
        <v>8</v>
      </c>
      <c r="C10"/>
      <c r="D10"/>
      <c r="E10" s="51" t="str">
        <f t="shared" si="0"/>
        <v xml:space="preserve"> to </v>
      </c>
      <c r="F10" s="58"/>
      <c r="G10" s="49" t="str">
        <f>B2</f>
        <v>Criteria Names 
(keep these short)</v>
      </c>
      <c r="H10" s="52" t="str">
        <f>B3</f>
        <v>Criteria 1</v>
      </c>
      <c r="I10" s="52" t="str">
        <f>B4</f>
        <v>Criteria 2</v>
      </c>
      <c r="J10" s="52" t="str">
        <f>B5</f>
        <v>Criteria 3</v>
      </c>
      <c r="K10" s="60" t="s">
        <v>68</v>
      </c>
      <c r="L10" s="51"/>
      <c r="M10" s="56"/>
      <c r="N10" s="56"/>
      <c r="O10" s="57"/>
      <c r="P10" s="56"/>
      <c r="Q10" s="56"/>
      <c r="R10" s="56"/>
      <c r="S10" s="51"/>
      <c r="T10" s="56"/>
      <c r="U10" s="56"/>
      <c r="V10" s="56"/>
      <c r="W10" s="56"/>
      <c r="X10" s="56"/>
      <c r="Y10" s="56"/>
      <c r="Z10" s="56"/>
      <c r="AA10" s="56"/>
    </row>
    <row r="11" spans="1:27" s="58" customFormat="1" ht="28.5" customHeight="1" x14ac:dyDescent="0.25">
      <c r="A11" s="51">
        <v>9</v>
      </c>
      <c r="B11"/>
      <c r="C11"/>
      <c r="D11"/>
      <c r="E11" s="51" t="str">
        <f t="shared" si="0"/>
        <v xml:space="preserve"> to </v>
      </c>
      <c r="F11"/>
      <c r="G11" s="48" t="str">
        <f>C2</f>
        <v>Min value</v>
      </c>
      <c r="H11" s="52">
        <f>C3</f>
        <v>1</v>
      </c>
      <c r="I11" s="52">
        <f>C4</f>
        <v>1</v>
      </c>
      <c r="J11" s="52">
        <f>C5</f>
        <v>1</v>
      </c>
      <c r="K11" s="62">
        <v>1</v>
      </c>
      <c r="L11" s="51"/>
      <c r="M11" s="56"/>
      <c r="N11" s="56"/>
      <c r="O11" s="57"/>
      <c r="P11" s="56"/>
      <c r="Q11" s="56"/>
      <c r="R11" s="56"/>
      <c r="S11" s="51"/>
      <c r="T11" s="56"/>
      <c r="U11" s="56"/>
      <c r="V11" s="56"/>
      <c r="W11" s="56"/>
      <c r="X11" s="56"/>
      <c r="Y11" s="56"/>
      <c r="Z11" s="57"/>
      <c r="AA11" s="57"/>
    </row>
    <row r="12" spans="1:27" x14ac:dyDescent="0.25">
      <c r="C12"/>
      <c r="D12"/>
      <c r="G12" s="48" t="str">
        <f>D2</f>
        <v>Max Value</v>
      </c>
      <c r="H12" s="52">
        <f>D3</f>
        <v>5</v>
      </c>
      <c r="I12" s="52">
        <f>D4</f>
        <v>5</v>
      </c>
      <c r="J12" s="52">
        <f>D5</f>
        <v>5</v>
      </c>
      <c r="K12" s="62">
        <v>7</v>
      </c>
      <c r="L12" s="51"/>
      <c r="M12" s="56"/>
      <c r="N12" s="56"/>
      <c r="O12" s="57"/>
      <c r="P12" s="56"/>
      <c r="Q12" s="56"/>
      <c r="R12" s="56"/>
      <c r="S12" s="51"/>
      <c r="T12" s="56"/>
      <c r="U12" s="56"/>
      <c r="V12" s="56"/>
      <c r="W12" s="56"/>
      <c r="X12" s="56"/>
      <c r="Y12" s="56"/>
      <c r="Z12" s="56"/>
      <c r="AA12" s="56"/>
    </row>
    <row r="13" spans="1:27" x14ac:dyDescent="0.25">
      <c r="C13"/>
      <c r="D13"/>
      <c r="G13" s="48" t="str">
        <f>E2</f>
        <v>Score Limits</v>
      </c>
      <c r="H13" s="51" t="str">
        <f>E3</f>
        <v>1 to 5</v>
      </c>
      <c r="I13" s="51" t="str">
        <f>E4</f>
        <v>1 to 5</v>
      </c>
      <c r="J13" s="51" t="str">
        <f>E5</f>
        <v>1 to 5</v>
      </c>
      <c r="K13" s="6" t="str">
        <f>IF(LEN(K11)&gt;0,K11 &amp; " to " &amp;K12,"")</f>
        <v>1 to 7</v>
      </c>
      <c r="L13" s="51"/>
      <c r="M13" s="56"/>
      <c r="N13" s="56"/>
      <c r="O13" s="57"/>
      <c r="P13" s="56"/>
      <c r="Q13" s="56"/>
      <c r="R13" s="56"/>
      <c r="S13" s="51"/>
      <c r="T13" s="56"/>
      <c r="U13" s="56"/>
      <c r="V13" s="56"/>
      <c r="W13" s="56"/>
      <c r="X13" s="56"/>
      <c r="Y13" s="56"/>
      <c r="Z13" s="56"/>
      <c r="AA13" s="56"/>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EC553-A983-4ECD-8455-356DFD566FD2}">
  <sheetPr codeName="Sheet28">
    <tabColor theme="5" tint="0.79998168889431442"/>
  </sheetPr>
  <dimension ref="A1:K19"/>
  <sheetViews>
    <sheetView zoomScale="115" zoomScaleNormal="115" workbookViewId="0">
      <pane ySplit="3" topLeftCell="A4" activePane="bottomLeft" state="frozen"/>
      <selection activeCell="D23" sqref="D23"/>
      <selection pane="bottomLeft" activeCell="D23" sqref="D23"/>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366" t="s">
        <v>326</v>
      </c>
      <c r="B1" s="454" t="str">
        <f>'Competition Parameters'!C7</f>
        <v>AN EXCITING PROGRAM/COMPETITION</v>
      </c>
      <c r="C1" s="454"/>
      <c r="D1" s="454"/>
      <c r="E1" s="454"/>
      <c r="F1" s="454"/>
      <c r="G1" s="454"/>
      <c r="H1" s="455" t="s">
        <v>361</v>
      </c>
      <c r="I1" s="456"/>
      <c r="J1" s="456"/>
      <c r="K1" s="457"/>
    </row>
    <row r="2" spans="1:11" ht="16.5" customHeight="1" thickBot="1" x14ac:dyDescent="0.3">
      <c r="A2" s="367" t="s">
        <v>323</v>
      </c>
      <c r="B2" s="368"/>
      <c r="C2" s="304"/>
      <c r="D2" s="304"/>
      <c r="E2" s="302"/>
      <c r="F2" s="302"/>
      <c r="G2" s="302"/>
      <c r="H2" s="302"/>
      <c r="I2" s="302"/>
      <c r="J2" s="302"/>
      <c r="K2" s="369"/>
    </row>
    <row r="3" spans="1:11" ht="34.5" customHeight="1" thickBot="1" x14ac:dyDescent="0.3">
      <c r="A3" s="370" t="s">
        <v>330</v>
      </c>
      <c r="B3" s="458" t="e">
        <f>VLOOKUP(B2,Projects!A:B,2,FALSE)</f>
        <v>#N/A</v>
      </c>
      <c r="C3" s="458"/>
      <c r="D3" s="458"/>
      <c r="E3" s="458"/>
      <c r="F3" s="458"/>
      <c r="G3" s="458"/>
      <c r="H3" s="458"/>
      <c r="I3" s="458"/>
      <c r="J3" s="458"/>
      <c r="K3" s="459"/>
    </row>
    <row r="4" spans="1:11" x14ac:dyDescent="0.25">
      <c r="A4" s="460" t="s">
        <v>362</v>
      </c>
      <c r="B4" s="427"/>
      <c r="C4" s="427"/>
      <c r="D4" s="427"/>
      <c r="E4" s="427"/>
      <c r="F4" s="427"/>
      <c r="G4" s="427"/>
      <c r="H4" s="427"/>
      <c r="I4" s="427"/>
      <c r="J4" s="427"/>
      <c r="K4" s="461"/>
    </row>
    <row r="5" spans="1:11" ht="93" customHeight="1" thickBot="1" x14ac:dyDescent="0.3">
      <c r="A5" s="448"/>
      <c r="B5" s="449"/>
      <c r="C5" s="449"/>
      <c r="D5" s="449"/>
      <c r="E5" s="449"/>
      <c r="F5" s="449"/>
      <c r="G5" s="449"/>
      <c r="H5" s="449"/>
      <c r="I5" s="449"/>
      <c r="J5" s="449"/>
      <c r="K5" s="450"/>
    </row>
    <row r="6" spans="1:11" ht="8.25" customHeight="1" thickBot="1" x14ac:dyDescent="0.3">
      <c r="A6" s="462"/>
      <c r="B6" s="415"/>
      <c r="C6" s="415"/>
      <c r="D6" s="415"/>
      <c r="E6" s="415"/>
      <c r="F6" s="415"/>
      <c r="G6" s="415"/>
      <c r="H6" s="415"/>
      <c r="I6" s="415"/>
      <c r="J6" s="415"/>
      <c r="K6" s="463"/>
    </row>
    <row r="7" spans="1:11" x14ac:dyDescent="0.25">
      <c r="A7" s="312" t="s">
        <v>56</v>
      </c>
      <c r="B7" s="313">
        <v>1</v>
      </c>
      <c r="C7" s="314" t="s">
        <v>363</v>
      </c>
      <c r="D7" s="451" t="str">
        <f>VLOOKUP('Project Comments - template'!B7,Criteria!$A:$B,2,FALSE)</f>
        <v>Criteria 1</v>
      </c>
      <c r="E7" s="452"/>
      <c r="F7" s="452"/>
      <c r="G7" s="452"/>
      <c r="H7" s="452"/>
      <c r="I7" s="452"/>
      <c r="J7" s="452"/>
      <c r="K7" s="453"/>
    </row>
    <row r="8" spans="1:11" x14ac:dyDescent="0.25">
      <c r="A8" s="446" t="s">
        <v>364</v>
      </c>
      <c r="B8" s="446"/>
      <c r="C8" s="446"/>
      <c r="D8" s="446"/>
      <c r="E8" s="446"/>
      <c r="F8" s="446"/>
      <c r="G8" s="446"/>
      <c r="H8" s="446"/>
      <c r="I8" s="446"/>
      <c r="J8" s="446"/>
      <c r="K8" s="447"/>
    </row>
    <row r="9" spans="1:11" ht="79.5" customHeight="1" thickBot="1" x14ac:dyDescent="0.3">
      <c r="A9" s="448"/>
      <c r="B9" s="449"/>
      <c r="C9" s="449"/>
      <c r="D9" s="449"/>
      <c r="E9" s="449"/>
      <c r="F9" s="449"/>
      <c r="G9" s="449"/>
      <c r="H9" s="449"/>
      <c r="I9" s="449"/>
      <c r="J9" s="449"/>
      <c r="K9" s="450"/>
    </row>
    <row r="10" spans="1:11" ht="8.25" customHeight="1" thickBot="1" x14ac:dyDescent="0.3">
      <c r="A10" s="443"/>
      <c r="B10" s="444"/>
      <c r="C10" s="444"/>
      <c r="D10" s="444"/>
      <c r="E10" s="444"/>
      <c r="F10" s="444"/>
      <c r="G10" s="444"/>
      <c r="H10" s="444"/>
      <c r="I10" s="444"/>
      <c r="J10" s="444"/>
      <c r="K10" s="445"/>
    </row>
    <row r="11" spans="1:11" x14ac:dyDescent="0.25">
      <c r="A11" s="312" t="s">
        <v>56</v>
      </c>
      <c r="B11" s="313">
        <f>B7+1</f>
        <v>2</v>
      </c>
      <c r="C11" s="314" t="s">
        <v>363</v>
      </c>
      <c r="D11" s="451" t="str">
        <f>VLOOKUP('Project Comments - template'!B11,Criteria!$A:$B,2,FALSE)</f>
        <v>Criteria 2</v>
      </c>
      <c r="E11" s="452"/>
      <c r="F11" s="452"/>
      <c r="G11" s="452"/>
      <c r="H11" s="452"/>
      <c r="I11" s="452"/>
      <c r="J11" s="452"/>
      <c r="K11" s="453"/>
    </row>
    <row r="12" spans="1:11" x14ac:dyDescent="0.25">
      <c r="A12" s="446" t="s">
        <v>364</v>
      </c>
      <c r="B12" s="446"/>
      <c r="C12" s="446"/>
      <c r="D12" s="446"/>
      <c r="E12" s="446"/>
      <c r="F12" s="446"/>
      <c r="G12" s="446"/>
      <c r="H12" s="446"/>
      <c r="I12" s="446"/>
      <c r="J12" s="446"/>
      <c r="K12" s="447"/>
    </row>
    <row r="13" spans="1:11" ht="95.1" customHeight="1" thickBot="1" x14ac:dyDescent="0.3">
      <c r="A13" s="448"/>
      <c r="B13" s="449"/>
      <c r="C13" s="449"/>
      <c r="D13" s="449"/>
      <c r="E13" s="449"/>
      <c r="F13" s="449"/>
      <c r="G13" s="449"/>
      <c r="H13" s="449"/>
      <c r="I13" s="449"/>
      <c r="J13" s="449"/>
      <c r="K13" s="450"/>
    </row>
    <row r="14" spans="1:11" ht="8.25" customHeight="1" thickBot="1" x14ac:dyDescent="0.3">
      <c r="A14" s="443"/>
      <c r="B14" s="444"/>
      <c r="C14" s="444"/>
      <c r="D14" s="444"/>
      <c r="E14" s="444"/>
      <c r="F14" s="444"/>
      <c r="G14" s="444"/>
      <c r="H14" s="444"/>
      <c r="I14" s="444"/>
      <c r="J14" s="444"/>
      <c r="K14" s="445"/>
    </row>
    <row r="15" spans="1:11" x14ac:dyDescent="0.25">
      <c r="A15" s="312" t="s">
        <v>56</v>
      </c>
      <c r="B15" s="313">
        <f>B11+1</f>
        <v>3</v>
      </c>
      <c r="C15" s="314" t="s">
        <v>363</v>
      </c>
      <c r="D15" s="451" t="str">
        <f>VLOOKUP('Project Comments - template'!B15,Criteria!$A:$B,2,FALSE)</f>
        <v>Criteria 3</v>
      </c>
      <c r="E15" s="452"/>
      <c r="F15" s="452"/>
      <c r="G15" s="452"/>
      <c r="H15" s="452"/>
      <c r="I15" s="452"/>
      <c r="J15" s="452"/>
      <c r="K15" s="453"/>
    </row>
    <row r="16" spans="1:11" x14ac:dyDescent="0.25">
      <c r="A16" s="446" t="s">
        <v>364</v>
      </c>
      <c r="B16" s="446"/>
      <c r="C16" s="446"/>
      <c r="D16" s="446"/>
      <c r="E16" s="446"/>
      <c r="F16" s="446"/>
      <c r="G16" s="446"/>
      <c r="H16" s="446"/>
      <c r="I16" s="446"/>
      <c r="J16" s="446"/>
      <c r="K16" s="447"/>
    </row>
    <row r="17" spans="1:11" ht="95.1" customHeight="1" thickBot="1" x14ac:dyDescent="0.3">
      <c r="A17" s="448"/>
      <c r="B17" s="449"/>
      <c r="C17" s="449"/>
      <c r="D17" s="449"/>
      <c r="E17" s="449"/>
      <c r="F17" s="449"/>
      <c r="G17" s="449"/>
      <c r="H17" s="449"/>
      <c r="I17" s="449"/>
      <c r="J17" s="449"/>
      <c r="K17" s="450"/>
    </row>
    <row r="18" spans="1:11" ht="20.100000000000001" customHeight="1" thickBot="1" x14ac:dyDescent="0.3">
      <c r="A18" s="443" t="s">
        <v>365</v>
      </c>
      <c r="B18" s="444"/>
      <c r="C18" s="444"/>
      <c r="D18" s="444"/>
      <c r="E18" s="444"/>
      <c r="F18" s="444"/>
      <c r="G18" s="444"/>
      <c r="H18" s="444"/>
      <c r="I18" s="444"/>
      <c r="J18" s="444"/>
      <c r="K18" s="445"/>
    </row>
    <row r="19" spans="1:11" ht="20.100000000000001" customHeight="1" x14ac:dyDescent="0.25"/>
  </sheetData>
  <mergeCells count="18">
    <mergeCell ref="A6:K6"/>
    <mergeCell ref="B1:G1"/>
    <mergeCell ref="H1:K1"/>
    <mergeCell ref="B3:K3"/>
    <mergeCell ref="A4:K4"/>
    <mergeCell ref="A5:K5"/>
    <mergeCell ref="D7:K7"/>
    <mergeCell ref="A8:K8"/>
    <mergeCell ref="A9:K9"/>
    <mergeCell ref="A10:K10"/>
    <mergeCell ref="D11:K11"/>
    <mergeCell ref="A18:K18"/>
    <mergeCell ref="A12:K12"/>
    <mergeCell ref="A13:K13"/>
    <mergeCell ref="A14:K14"/>
    <mergeCell ref="D15:K15"/>
    <mergeCell ref="A16:K16"/>
    <mergeCell ref="A17:K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D119-E7A6-4811-941E-2840B8418F3F}">
  <sheetPr codeName="Sheet2">
    <tabColor theme="9" tint="0.79998168889431442"/>
  </sheetPr>
  <dimension ref="A1:M200"/>
  <sheetViews>
    <sheetView zoomScaleNormal="100" workbookViewId="0">
      <pane ySplit="2" topLeftCell="A3" activePane="bottomLeft" state="frozen"/>
      <selection activeCell="D23" sqref="D23"/>
      <selection pane="bottomLeft" activeCell="D23" sqref="D23"/>
    </sheetView>
  </sheetViews>
  <sheetFormatPr defaultRowHeight="15" x14ac:dyDescent="0.25"/>
  <cols>
    <col min="1" max="1" width="5.42578125" style="4" bestFit="1" customWidth="1"/>
    <col min="2" max="2" width="55.140625" bestFit="1" customWidth="1"/>
    <col min="3" max="3" width="26.85546875" customWidth="1"/>
    <col min="4" max="4" width="22" style="58" bestFit="1" customWidth="1"/>
    <col min="5" max="5" width="22.28515625" bestFit="1" customWidth="1"/>
    <col min="6" max="6" width="28" style="58" customWidth="1"/>
    <col min="7" max="10" width="7.42578125" style="47" customWidth="1"/>
    <col min="11" max="11" width="18.42578125" bestFit="1" customWidth="1"/>
  </cols>
  <sheetData>
    <row r="1" spans="1:13" s="71" customFormat="1" x14ac:dyDescent="0.25">
      <c r="A1" s="387" t="s">
        <v>69</v>
      </c>
      <c r="B1" s="63" t="str">
        <f>"Competition Name: " &amp;'Competition Parameters'!C7</f>
        <v>Competition Name: AN EXCITING PROGRAM/COMPETITION</v>
      </c>
      <c r="C1" s="64"/>
      <c r="D1" s="65"/>
      <c r="E1" s="64"/>
      <c r="F1" s="66"/>
      <c r="G1" s="389" t="s">
        <v>70</v>
      </c>
      <c r="H1" s="67"/>
      <c r="I1" s="68" t="s">
        <v>71</v>
      </c>
      <c r="J1" s="69"/>
      <c r="K1" s="70" t="s">
        <v>72</v>
      </c>
      <c r="L1" s="48">
        <f>COUNTIF(B:B,"&lt;&gt;"&amp;"")-2</f>
        <v>25</v>
      </c>
      <c r="M1" s="70"/>
    </row>
    <row r="2" spans="1:13" s="78" customFormat="1" ht="61.5" customHeight="1" x14ac:dyDescent="0.25">
      <c r="A2" s="388"/>
      <c r="B2" s="72" t="s">
        <v>73</v>
      </c>
      <c r="C2" s="72" t="s">
        <v>74</v>
      </c>
      <c r="D2" s="73" t="s">
        <v>75</v>
      </c>
      <c r="E2" s="72" t="s">
        <v>76</v>
      </c>
      <c r="F2" s="74" t="s">
        <v>77</v>
      </c>
      <c r="G2" s="390"/>
      <c r="H2" s="75" t="s">
        <v>78</v>
      </c>
      <c r="I2" s="76" t="s">
        <v>79</v>
      </c>
      <c r="J2" s="77" t="s">
        <v>80</v>
      </c>
      <c r="K2" s="391" t="s">
        <v>53</v>
      </c>
      <c r="L2" s="392"/>
      <c r="M2" s="393"/>
    </row>
    <row r="3" spans="1:13" x14ac:dyDescent="0.25">
      <c r="A3" s="16">
        <v>1</v>
      </c>
      <c r="B3" t="s">
        <v>81</v>
      </c>
      <c r="C3" t="s">
        <v>82</v>
      </c>
      <c r="D3" t="s">
        <v>83</v>
      </c>
      <c r="E3" t="s">
        <v>84</v>
      </c>
      <c r="F3"/>
      <c r="G3">
        <v>1</v>
      </c>
      <c r="H3"/>
      <c r="I3"/>
      <c r="J3"/>
    </row>
    <row r="4" spans="1:13" x14ac:dyDescent="0.25">
      <c r="A4" s="16">
        <v>2</v>
      </c>
      <c r="B4" t="s">
        <v>85</v>
      </c>
      <c r="C4" t="s">
        <v>86</v>
      </c>
      <c r="D4" t="s">
        <v>87</v>
      </c>
      <c r="E4" t="s">
        <v>88</v>
      </c>
      <c r="F4"/>
      <c r="G4">
        <v>2</v>
      </c>
      <c r="H4"/>
      <c r="I4"/>
      <c r="J4"/>
    </row>
    <row r="5" spans="1:13" x14ac:dyDescent="0.25">
      <c r="A5" s="16">
        <v>3</v>
      </c>
      <c r="B5" t="s">
        <v>89</v>
      </c>
      <c r="C5" t="s">
        <v>90</v>
      </c>
      <c r="D5" t="s">
        <v>91</v>
      </c>
      <c r="E5" t="s">
        <v>92</v>
      </c>
      <c r="F5"/>
      <c r="G5">
        <v>3</v>
      </c>
      <c r="H5"/>
      <c r="I5"/>
      <c r="J5"/>
    </row>
    <row r="6" spans="1:13" x14ac:dyDescent="0.25">
      <c r="A6" s="16">
        <v>4</v>
      </c>
      <c r="B6" t="s">
        <v>93</v>
      </c>
      <c r="C6" t="s">
        <v>94</v>
      </c>
      <c r="D6" t="s">
        <v>95</v>
      </c>
      <c r="E6" t="s">
        <v>96</v>
      </c>
      <c r="F6"/>
      <c r="G6">
        <v>4</v>
      </c>
      <c r="H6"/>
      <c r="I6"/>
      <c r="J6"/>
    </row>
    <row r="7" spans="1:13" x14ac:dyDescent="0.25">
      <c r="A7" s="16">
        <v>5</v>
      </c>
      <c r="B7" t="s">
        <v>97</v>
      </c>
      <c r="C7" t="s">
        <v>98</v>
      </c>
      <c r="D7" t="s">
        <v>99</v>
      </c>
      <c r="E7" t="s">
        <v>100</v>
      </c>
      <c r="F7"/>
      <c r="G7">
        <v>5</v>
      </c>
      <c r="H7"/>
      <c r="I7"/>
      <c r="J7"/>
    </row>
    <row r="8" spans="1:13" x14ac:dyDescent="0.25">
      <c r="A8" s="16">
        <v>6</v>
      </c>
      <c r="B8" t="s">
        <v>101</v>
      </c>
      <c r="C8" t="s">
        <v>102</v>
      </c>
      <c r="D8" t="s">
        <v>103</v>
      </c>
      <c r="E8" t="s">
        <v>104</v>
      </c>
      <c r="F8"/>
      <c r="G8">
        <v>6</v>
      </c>
      <c r="H8"/>
      <c r="I8"/>
      <c r="J8"/>
    </row>
    <row r="9" spans="1:13" x14ac:dyDescent="0.25">
      <c r="A9" s="16">
        <v>7</v>
      </c>
      <c r="B9" t="s">
        <v>105</v>
      </c>
      <c r="C9" t="s">
        <v>106</v>
      </c>
      <c r="D9" t="s">
        <v>107</v>
      </c>
      <c r="E9" t="s">
        <v>108</v>
      </c>
      <c r="F9"/>
      <c r="G9"/>
      <c r="H9"/>
      <c r="I9"/>
      <c r="J9"/>
    </row>
    <row r="10" spans="1:13" x14ac:dyDescent="0.25">
      <c r="A10" s="16">
        <v>8</v>
      </c>
      <c r="B10" t="s">
        <v>109</v>
      </c>
      <c r="C10" t="s">
        <v>110</v>
      </c>
      <c r="D10" t="s">
        <v>111</v>
      </c>
      <c r="E10" t="s">
        <v>112</v>
      </c>
      <c r="F10"/>
      <c r="G10">
        <v>8</v>
      </c>
      <c r="H10"/>
      <c r="I10"/>
      <c r="J10"/>
    </row>
    <row r="11" spans="1:13" x14ac:dyDescent="0.25">
      <c r="A11" s="16">
        <v>9</v>
      </c>
      <c r="B11" t="s">
        <v>113</v>
      </c>
      <c r="C11" t="s">
        <v>114</v>
      </c>
      <c r="D11" t="s">
        <v>115</v>
      </c>
      <c r="E11" t="s">
        <v>116</v>
      </c>
      <c r="F11"/>
      <c r="G11">
        <v>9</v>
      </c>
      <c r="H11"/>
      <c r="I11"/>
      <c r="J11"/>
    </row>
    <row r="12" spans="1:13" x14ac:dyDescent="0.25">
      <c r="A12" s="16">
        <v>10</v>
      </c>
      <c r="B12" t="s">
        <v>117</v>
      </c>
      <c r="C12" t="s">
        <v>118</v>
      </c>
      <c r="D12" t="s">
        <v>119</v>
      </c>
      <c r="E12" t="s">
        <v>120</v>
      </c>
      <c r="F12"/>
      <c r="G12">
        <v>10</v>
      </c>
      <c r="H12"/>
      <c r="I12"/>
      <c r="J12"/>
    </row>
    <row r="13" spans="1:13" x14ac:dyDescent="0.25">
      <c r="A13" s="16">
        <v>11</v>
      </c>
      <c r="B13" t="s">
        <v>121</v>
      </c>
      <c r="C13" t="s">
        <v>122</v>
      </c>
      <c r="D13" t="s">
        <v>123</v>
      </c>
      <c r="E13" t="s">
        <v>124</v>
      </c>
      <c r="F13"/>
      <c r="G13">
        <v>1</v>
      </c>
      <c r="H13"/>
      <c r="I13"/>
      <c r="J13"/>
    </row>
    <row r="14" spans="1:13" x14ac:dyDescent="0.25">
      <c r="A14" s="16">
        <v>12</v>
      </c>
      <c r="B14" t="s">
        <v>125</v>
      </c>
      <c r="C14" t="s">
        <v>126</v>
      </c>
      <c r="D14" t="s">
        <v>127</v>
      </c>
      <c r="E14" t="s">
        <v>128</v>
      </c>
      <c r="F14"/>
      <c r="G14">
        <v>2</v>
      </c>
      <c r="H14"/>
      <c r="I14"/>
      <c r="J14"/>
    </row>
    <row r="15" spans="1:13" x14ac:dyDescent="0.25">
      <c r="A15" s="16">
        <v>13</v>
      </c>
      <c r="B15" t="s">
        <v>129</v>
      </c>
      <c r="C15" t="s">
        <v>130</v>
      </c>
      <c r="D15" t="s">
        <v>131</v>
      </c>
      <c r="E15" t="s">
        <v>132</v>
      </c>
      <c r="F15"/>
      <c r="G15">
        <v>3</v>
      </c>
      <c r="H15"/>
      <c r="I15"/>
      <c r="J15"/>
    </row>
    <row r="16" spans="1:13" x14ac:dyDescent="0.25">
      <c r="A16" s="16">
        <v>14</v>
      </c>
      <c r="B16" t="s">
        <v>133</v>
      </c>
      <c r="C16" t="s">
        <v>134</v>
      </c>
      <c r="D16" t="s">
        <v>135</v>
      </c>
      <c r="E16" t="s">
        <v>136</v>
      </c>
      <c r="F16"/>
      <c r="G16">
        <v>4</v>
      </c>
      <c r="H16"/>
      <c r="I16"/>
      <c r="J16"/>
    </row>
    <row r="17" spans="1:10" x14ac:dyDescent="0.25">
      <c r="A17" s="16">
        <v>15</v>
      </c>
      <c r="B17" t="s">
        <v>137</v>
      </c>
      <c r="C17" t="s">
        <v>138</v>
      </c>
      <c r="D17" t="s">
        <v>139</v>
      </c>
      <c r="E17" t="s">
        <v>140</v>
      </c>
      <c r="F17"/>
      <c r="G17"/>
      <c r="H17"/>
      <c r="I17"/>
      <c r="J17"/>
    </row>
    <row r="18" spans="1:10" x14ac:dyDescent="0.25">
      <c r="A18" s="16">
        <v>16</v>
      </c>
      <c r="B18" t="s">
        <v>141</v>
      </c>
      <c r="C18" t="s">
        <v>142</v>
      </c>
      <c r="D18" t="s">
        <v>143</v>
      </c>
      <c r="E18" t="s">
        <v>144</v>
      </c>
      <c r="F18"/>
      <c r="G18">
        <v>6</v>
      </c>
      <c r="H18"/>
      <c r="I18"/>
      <c r="J18"/>
    </row>
    <row r="19" spans="1:10" x14ac:dyDescent="0.25">
      <c r="A19" s="16">
        <v>17</v>
      </c>
      <c r="B19" t="s">
        <v>145</v>
      </c>
      <c r="C19" t="s">
        <v>146</v>
      </c>
      <c r="D19" t="s">
        <v>147</v>
      </c>
      <c r="E19" t="s">
        <v>148</v>
      </c>
      <c r="F19"/>
      <c r="G19">
        <v>7</v>
      </c>
      <c r="H19"/>
      <c r="I19"/>
      <c r="J19"/>
    </row>
    <row r="20" spans="1:10" x14ac:dyDescent="0.25">
      <c r="A20" s="16">
        <v>18</v>
      </c>
      <c r="B20" t="s">
        <v>149</v>
      </c>
      <c r="C20" t="s">
        <v>150</v>
      </c>
      <c r="D20" t="s">
        <v>151</v>
      </c>
      <c r="E20" t="s">
        <v>152</v>
      </c>
      <c r="F20"/>
      <c r="G20">
        <v>8</v>
      </c>
      <c r="H20"/>
      <c r="I20"/>
      <c r="J20"/>
    </row>
    <row r="21" spans="1:10" x14ac:dyDescent="0.25">
      <c r="A21" s="16">
        <v>19</v>
      </c>
      <c r="B21" t="s">
        <v>153</v>
      </c>
      <c r="C21" t="s">
        <v>154</v>
      </c>
      <c r="D21" t="s">
        <v>155</v>
      </c>
      <c r="E21" t="s">
        <v>156</v>
      </c>
      <c r="F21"/>
      <c r="G21">
        <v>9</v>
      </c>
      <c r="H21"/>
      <c r="I21"/>
      <c r="J21"/>
    </row>
    <row r="22" spans="1:10" x14ac:dyDescent="0.25">
      <c r="A22" s="16">
        <v>20</v>
      </c>
      <c r="B22" t="s">
        <v>157</v>
      </c>
      <c r="C22" t="s">
        <v>158</v>
      </c>
      <c r="D22" t="s">
        <v>159</v>
      </c>
      <c r="E22" t="s">
        <v>160</v>
      </c>
      <c r="F22"/>
      <c r="G22">
        <v>10</v>
      </c>
      <c r="H22"/>
      <c r="I22"/>
      <c r="J22"/>
    </row>
    <row r="23" spans="1:10" x14ac:dyDescent="0.25">
      <c r="A23" s="16">
        <v>21</v>
      </c>
      <c r="B23" t="s">
        <v>161</v>
      </c>
      <c r="C23" t="s">
        <v>162</v>
      </c>
      <c r="D23" t="s">
        <v>163</v>
      </c>
      <c r="E23" t="s">
        <v>164</v>
      </c>
      <c r="F23"/>
      <c r="G23">
        <v>1</v>
      </c>
      <c r="H23"/>
      <c r="I23"/>
      <c r="J23"/>
    </row>
    <row r="24" spans="1:10" x14ac:dyDescent="0.25">
      <c r="A24" s="16">
        <v>22</v>
      </c>
      <c r="B24" t="s">
        <v>165</v>
      </c>
      <c r="C24" t="s">
        <v>166</v>
      </c>
      <c r="D24" t="s">
        <v>167</v>
      </c>
      <c r="E24" t="s">
        <v>168</v>
      </c>
      <c r="F24"/>
      <c r="G24">
        <v>2</v>
      </c>
      <c r="H24"/>
      <c r="I24"/>
      <c r="J24"/>
    </row>
    <row r="25" spans="1:10" x14ac:dyDescent="0.25">
      <c r="A25" s="16">
        <v>23</v>
      </c>
      <c r="B25" t="s">
        <v>169</v>
      </c>
      <c r="C25" t="s">
        <v>170</v>
      </c>
      <c r="D25" t="s">
        <v>171</v>
      </c>
      <c r="E25" t="s">
        <v>172</v>
      </c>
      <c r="F25"/>
      <c r="G25">
        <v>3</v>
      </c>
      <c r="H25"/>
      <c r="I25"/>
      <c r="J25"/>
    </row>
    <row r="26" spans="1:10" x14ac:dyDescent="0.25">
      <c r="A26" s="16">
        <v>24</v>
      </c>
      <c r="B26" t="s">
        <v>173</v>
      </c>
      <c r="C26" t="s">
        <v>174</v>
      </c>
      <c r="D26" t="s">
        <v>175</v>
      </c>
      <c r="E26" t="s">
        <v>176</v>
      </c>
      <c r="F26"/>
      <c r="G26">
        <v>4</v>
      </c>
      <c r="H26"/>
      <c r="I26"/>
      <c r="J26"/>
    </row>
    <row r="27" spans="1:10" x14ac:dyDescent="0.25">
      <c r="A27" s="16">
        <v>25</v>
      </c>
      <c r="B27" t="s">
        <v>177</v>
      </c>
      <c r="C27" t="s">
        <v>178</v>
      </c>
      <c r="D27" t="s">
        <v>179</v>
      </c>
      <c r="E27" t="s">
        <v>180</v>
      </c>
      <c r="F27"/>
      <c r="G27">
        <v>5</v>
      </c>
      <c r="H27"/>
      <c r="I27"/>
      <c r="J27"/>
    </row>
    <row r="28" spans="1:10" x14ac:dyDescent="0.25">
      <c r="A28" s="16">
        <v>26</v>
      </c>
      <c r="D28"/>
      <c r="F28"/>
      <c r="G28"/>
      <c r="H28"/>
      <c r="I28"/>
      <c r="J28"/>
    </row>
    <row r="29" spans="1:10" x14ac:dyDescent="0.25">
      <c r="A29" s="16">
        <v>27</v>
      </c>
      <c r="D29"/>
      <c r="F29"/>
      <c r="G29"/>
      <c r="H29"/>
      <c r="I29"/>
      <c r="J29"/>
    </row>
    <row r="30" spans="1:10" x14ac:dyDescent="0.25">
      <c r="A30" s="16">
        <v>28</v>
      </c>
      <c r="D30"/>
      <c r="F30"/>
      <c r="G30"/>
      <c r="H30"/>
      <c r="I30"/>
      <c r="J30"/>
    </row>
    <row r="31" spans="1:10" x14ac:dyDescent="0.25">
      <c r="A31" s="16">
        <v>29</v>
      </c>
      <c r="D31"/>
      <c r="F31"/>
      <c r="G31"/>
      <c r="H31"/>
      <c r="I31"/>
      <c r="J31"/>
    </row>
    <row r="32" spans="1:10" x14ac:dyDescent="0.25">
      <c r="A32" s="16">
        <v>30</v>
      </c>
      <c r="D32"/>
      <c r="F32"/>
      <c r="G32"/>
      <c r="H32"/>
      <c r="I32"/>
      <c r="J32"/>
    </row>
    <row r="33" spans="1:10" x14ac:dyDescent="0.25">
      <c r="A33" s="16">
        <v>31</v>
      </c>
      <c r="D33"/>
      <c r="F33"/>
      <c r="G33"/>
      <c r="H33"/>
      <c r="I33"/>
      <c r="J33"/>
    </row>
    <row r="34" spans="1:10" x14ac:dyDescent="0.25">
      <c r="A34" s="16">
        <v>32</v>
      </c>
      <c r="D34"/>
      <c r="F34"/>
      <c r="G34"/>
      <c r="H34"/>
      <c r="I34"/>
      <c r="J34"/>
    </row>
    <row r="35" spans="1:10" x14ac:dyDescent="0.25">
      <c r="A35" s="16">
        <v>33</v>
      </c>
      <c r="D35"/>
      <c r="F35"/>
      <c r="G35"/>
      <c r="H35"/>
      <c r="I35"/>
      <c r="J35"/>
    </row>
    <row r="36" spans="1:10" x14ac:dyDescent="0.25">
      <c r="A36" s="16">
        <v>34</v>
      </c>
      <c r="D36"/>
      <c r="F36"/>
      <c r="G36"/>
      <c r="H36"/>
      <c r="I36"/>
      <c r="J36"/>
    </row>
    <row r="37" spans="1:10" x14ac:dyDescent="0.25">
      <c r="A37" s="16">
        <v>35</v>
      </c>
      <c r="D37"/>
      <c r="F37"/>
      <c r="G37"/>
      <c r="H37"/>
      <c r="I37"/>
      <c r="J37"/>
    </row>
    <row r="38" spans="1:10" x14ac:dyDescent="0.25">
      <c r="A38" s="16">
        <v>36</v>
      </c>
      <c r="D38"/>
      <c r="F38"/>
      <c r="G38"/>
      <c r="H38"/>
      <c r="I38"/>
      <c r="J38"/>
    </row>
    <row r="39" spans="1:10" x14ac:dyDescent="0.25">
      <c r="A39" s="16">
        <v>37</v>
      </c>
      <c r="D39"/>
      <c r="F39"/>
      <c r="G39"/>
      <c r="H39"/>
      <c r="I39"/>
      <c r="J39"/>
    </row>
    <row r="40" spans="1:10" x14ac:dyDescent="0.25">
      <c r="A40" s="16">
        <v>38</v>
      </c>
      <c r="D40"/>
      <c r="F40"/>
      <c r="G40"/>
      <c r="H40"/>
      <c r="I40"/>
      <c r="J40"/>
    </row>
    <row r="41" spans="1:10" x14ac:dyDescent="0.25">
      <c r="A41" s="16">
        <v>39</v>
      </c>
      <c r="D41"/>
      <c r="F41"/>
      <c r="G41"/>
      <c r="H41"/>
      <c r="I41"/>
      <c r="J41"/>
    </row>
    <row r="42" spans="1:10" x14ac:dyDescent="0.25">
      <c r="A42" s="16">
        <v>40</v>
      </c>
      <c r="D42"/>
      <c r="F42"/>
      <c r="G42"/>
      <c r="H42"/>
      <c r="I42"/>
      <c r="J42"/>
    </row>
    <row r="43" spans="1:10" x14ac:dyDescent="0.25">
      <c r="A43" s="16">
        <v>41</v>
      </c>
      <c r="D43"/>
      <c r="F43"/>
      <c r="G43"/>
      <c r="H43"/>
      <c r="I43"/>
      <c r="J43"/>
    </row>
    <row r="44" spans="1:10" x14ac:dyDescent="0.25">
      <c r="A44" s="16">
        <v>42</v>
      </c>
      <c r="D44"/>
      <c r="F44"/>
      <c r="G44"/>
      <c r="H44"/>
      <c r="I44"/>
      <c r="J44"/>
    </row>
    <row r="45" spans="1:10" x14ac:dyDescent="0.25">
      <c r="A45" s="16">
        <v>43</v>
      </c>
      <c r="D45"/>
      <c r="F45"/>
      <c r="G45"/>
      <c r="H45"/>
      <c r="I45"/>
      <c r="J45"/>
    </row>
    <row r="46" spans="1:10" x14ac:dyDescent="0.25">
      <c r="A46" s="16">
        <v>44</v>
      </c>
      <c r="D46"/>
      <c r="F46"/>
      <c r="G46"/>
      <c r="H46"/>
      <c r="I46"/>
      <c r="J46"/>
    </row>
    <row r="47" spans="1:10" x14ac:dyDescent="0.25">
      <c r="A47" s="16">
        <v>45</v>
      </c>
      <c r="D47"/>
      <c r="F47"/>
      <c r="G47"/>
      <c r="H47"/>
      <c r="I47"/>
      <c r="J47"/>
    </row>
    <row r="48" spans="1:10" x14ac:dyDescent="0.25">
      <c r="A48" s="16">
        <v>46</v>
      </c>
      <c r="D48"/>
      <c r="F48"/>
      <c r="G48"/>
      <c r="H48"/>
      <c r="I48"/>
      <c r="J48"/>
    </row>
    <row r="49" spans="1:10" x14ac:dyDescent="0.25">
      <c r="A49" s="16">
        <v>47</v>
      </c>
      <c r="D49"/>
      <c r="F49"/>
      <c r="G49"/>
      <c r="H49"/>
      <c r="I49"/>
      <c r="J49"/>
    </row>
    <row r="50" spans="1:10" x14ac:dyDescent="0.25">
      <c r="A50" s="16">
        <v>48</v>
      </c>
      <c r="D50"/>
      <c r="F50"/>
      <c r="G50"/>
      <c r="H50"/>
      <c r="I50"/>
      <c r="J50"/>
    </row>
    <row r="51" spans="1:10" x14ac:dyDescent="0.25">
      <c r="A51" s="16">
        <v>49</v>
      </c>
      <c r="D51"/>
      <c r="F51"/>
      <c r="G51"/>
      <c r="H51"/>
      <c r="I51"/>
      <c r="J51"/>
    </row>
    <row r="52" spans="1:10" x14ac:dyDescent="0.25">
      <c r="A52" s="16">
        <v>50</v>
      </c>
      <c r="D52"/>
      <c r="F52"/>
      <c r="G52"/>
      <c r="H52"/>
      <c r="I52"/>
      <c r="J52"/>
    </row>
    <row r="53" spans="1:10" x14ac:dyDescent="0.25">
      <c r="A53" s="16">
        <v>51</v>
      </c>
      <c r="D53"/>
      <c r="F53"/>
      <c r="G53"/>
      <c r="H53"/>
      <c r="I53"/>
      <c r="J53"/>
    </row>
    <row r="54" spans="1:10" x14ac:dyDescent="0.25">
      <c r="A54" s="16">
        <v>52</v>
      </c>
      <c r="D54"/>
      <c r="F54"/>
      <c r="G54"/>
      <c r="H54"/>
      <c r="I54"/>
      <c r="J54"/>
    </row>
    <row r="55" spans="1:10" x14ac:dyDescent="0.25">
      <c r="A55" s="16">
        <v>53</v>
      </c>
      <c r="D55"/>
      <c r="F55"/>
      <c r="G55"/>
      <c r="H55"/>
      <c r="I55"/>
      <c r="J55"/>
    </row>
    <row r="56" spans="1:10" x14ac:dyDescent="0.25">
      <c r="A56" s="16">
        <v>54</v>
      </c>
      <c r="D56"/>
      <c r="F56"/>
      <c r="G56"/>
      <c r="H56"/>
      <c r="I56"/>
      <c r="J56"/>
    </row>
    <row r="57" spans="1:10" x14ac:dyDescent="0.25">
      <c r="A57" s="16">
        <v>55</v>
      </c>
      <c r="D57"/>
      <c r="F57"/>
      <c r="G57"/>
      <c r="H57"/>
      <c r="I57"/>
      <c r="J57"/>
    </row>
    <row r="58" spans="1:10" x14ac:dyDescent="0.25">
      <c r="A58" s="16">
        <v>56</v>
      </c>
      <c r="D58"/>
      <c r="F58"/>
      <c r="G58"/>
      <c r="H58"/>
      <c r="I58"/>
      <c r="J58"/>
    </row>
    <row r="59" spans="1:10" x14ac:dyDescent="0.25">
      <c r="A59" s="16">
        <v>57</v>
      </c>
      <c r="D59"/>
      <c r="F59"/>
      <c r="G59"/>
      <c r="H59"/>
      <c r="I59"/>
      <c r="J59"/>
    </row>
    <row r="60" spans="1:10" x14ac:dyDescent="0.25">
      <c r="A60" s="16">
        <v>58</v>
      </c>
      <c r="D60"/>
      <c r="F60"/>
      <c r="G60"/>
      <c r="H60"/>
      <c r="I60"/>
      <c r="J60"/>
    </row>
    <row r="61" spans="1:10" x14ac:dyDescent="0.25">
      <c r="A61" s="16">
        <v>59</v>
      </c>
      <c r="D61"/>
      <c r="F61"/>
      <c r="G61"/>
      <c r="H61"/>
      <c r="I61"/>
      <c r="J61"/>
    </row>
    <row r="62" spans="1:10" x14ac:dyDescent="0.25">
      <c r="A62" s="16">
        <v>60</v>
      </c>
      <c r="D62"/>
      <c r="F62"/>
      <c r="G62"/>
      <c r="H62"/>
      <c r="I62"/>
      <c r="J62"/>
    </row>
    <row r="63" spans="1:10" x14ac:dyDescent="0.25">
      <c r="A63" s="16">
        <v>61</v>
      </c>
      <c r="D63"/>
      <c r="F63"/>
      <c r="G63"/>
      <c r="H63"/>
      <c r="I63"/>
      <c r="J63"/>
    </row>
    <row r="64" spans="1:10" x14ac:dyDescent="0.25">
      <c r="A64" s="16">
        <v>62</v>
      </c>
      <c r="D64"/>
      <c r="F64"/>
      <c r="G64"/>
      <c r="H64"/>
      <c r="I64"/>
      <c r="J64"/>
    </row>
    <row r="65" spans="1:10" x14ac:dyDescent="0.25">
      <c r="A65" s="16">
        <v>63</v>
      </c>
      <c r="D65"/>
      <c r="F65"/>
      <c r="G65"/>
      <c r="H65"/>
      <c r="I65"/>
      <c r="J65"/>
    </row>
    <row r="66" spans="1:10" x14ac:dyDescent="0.25">
      <c r="A66" s="16">
        <v>64</v>
      </c>
      <c r="D66"/>
      <c r="F66"/>
      <c r="G66"/>
      <c r="H66"/>
      <c r="I66"/>
      <c r="J66"/>
    </row>
    <row r="67" spans="1:10" x14ac:dyDescent="0.25">
      <c r="A67" s="16">
        <v>65</v>
      </c>
      <c r="D67"/>
      <c r="F67"/>
      <c r="G67"/>
      <c r="H67"/>
      <c r="I67"/>
      <c r="J67"/>
    </row>
    <row r="68" spans="1:10" x14ac:dyDescent="0.25">
      <c r="A68" s="16">
        <v>66</v>
      </c>
      <c r="D68"/>
      <c r="F68"/>
      <c r="G68"/>
      <c r="H68"/>
      <c r="I68"/>
      <c r="J68"/>
    </row>
    <row r="69" spans="1:10" x14ac:dyDescent="0.25">
      <c r="A69" s="16">
        <v>67</v>
      </c>
      <c r="D69"/>
      <c r="F69"/>
      <c r="G69"/>
      <c r="H69"/>
      <c r="I69"/>
      <c r="J69"/>
    </row>
    <row r="70" spans="1:10" x14ac:dyDescent="0.25">
      <c r="A70" s="16">
        <v>68</v>
      </c>
      <c r="D70"/>
      <c r="F70"/>
      <c r="G70"/>
      <c r="H70"/>
      <c r="I70"/>
      <c r="J70"/>
    </row>
    <row r="71" spans="1:10" x14ac:dyDescent="0.25">
      <c r="A71" s="16">
        <v>69</v>
      </c>
      <c r="D71"/>
      <c r="F71"/>
      <c r="G71"/>
      <c r="H71"/>
      <c r="I71"/>
      <c r="J71"/>
    </row>
    <row r="72" spans="1:10" x14ac:dyDescent="0.25">
      <c r="A72" s="16">
        <v>70</v>
      </c>
      <c r="D72"/>
      <c r="F72"/>
      <c r="G72"/>
      <c r="H72"/>
      <c r="I72"/>
      <c r="J72"/>
    </row>
    <row r="73" spans="1:10" x14ac:dyDescent="0.25">
      <c r="A73" s="16">
        <v>71</v>
      </c>
      <c r="D73"/>
      <c r="F73"/>
      <c r="G73"/>
      <c r="H73"/>
      <c r="I73"/>
      <c r="J73"/>
    </row>
    <row r="74" spans="1:10" x14ac:dyDescent="0.25">
      <c r="A74" s="16">
        <v>72</v>
      </c>
      <c r="D74"/>
      <c r="F74"/>
      <c r="G74"/>
      <c r="H74"/>
      <c r="I74"/>
      <c r="J74"/>
    </row>
    <row r="75" spans="1:10" x14ac:dyDescent="0.25">
      <c r="A75" s="16">
        <v>73</v>
      </c>
      <c r="D75"/>
      <c r="F75"/>
      <c r="G75"/>
      <c r="H75"/>
      <c r="I75"/>
      <c r="J75"/>
    </row>
    <row r="76" spans="1:10" x14ac:dyDescent="0.25">
      <c r="A76" s="16">
        <v>74</v>
      </c>
      <c r="D76"/>
      <c r="F76"/>
      <c r="G76"/>
      <c r="H76"/>
      <c r="I76"/>
      <c r="J76"/>
    </row>
    <row r="77" spans="1:10" x14ac:dyDescent="0.25">
      <c r="A77" s="16">
        <v>75</v>
      </c>
      <c r="D77"/>
      <c r="F77"/>
      <c r="G77"/>
      <c r="H77"/>
      <c r="I77"/>
      <c r="J77"/>
    </row>
    <row r="78" spans="1:10" x14ac:dyDescent="0.25">
      <c r="A78" s="16">
        <v>76</v>
      </c>
      <c r="D78"/>
      <c r="F78"/>
      <c r="G78"/>
      <c r="H78"/>
      <c r="I78"/>
      <c r="J78"/>
    </row>
    <row r="79" spans="1:10" x14ac:dyDescent="0.25">
      <c r="A79" s="16">
        <v>77</v>
      </c>
      <c r="D79"/>
      <c r="F79"/>
      <c r="G79"/>
      <c r="H79"/>
      <c r="I79"/>
      <c r="J79"/>
    </row>
    <row r="80" spans="1:10" x14ac:dyDescent="0.25">
      <c r="A80" s="16">
        <v>78</v>
      </c>
      <c r="D80"/>
      <c r="F80"/>
      <c r="G80"/>
      <c r="H80"/>
      <c r="I80"/>
      <c r="J80"/>
    </row>
    <row r="81" spans="1:10" x14ac:dyDescent="0.25">
      <c r="A81" s="16">
        <v>79</v>
      </c>
      <c r="D81"/>
      <c r="F81"/>
      <c r="G81"/>
      <c r="H81"/>
      <c r="I81"/>
      <c r="J81"/>
    </row>
    <row r="82" spans="1:10" x14ac:dyDescent="0.25">
      <c r="A82" s="16">
        <v>80</v>
      </c>
      <c r="D82"/>
      <c r="F82"/>
      <c r="G82"/>
      <c r="H82"/>
      <c r="I82"/>
      <c r="J82"/>
    </row>
    <row r="83" spans="1:10" x14ac:dyDescent="0.25">
      <c r="A83" s="16">
        <v>81</v>
      </c>
      <c r="D83"/>
      <c r="F83"/>
      <c r="G83"/>
      <c r="H83"/>
      <c r="I83"/>
      <c r="J83"/>
    </row>
    <row r="84" spans="1:10" x14ac:dyDescent="0.25">
      <c r="A84" s="16">
        <v>82</v>
      </c>
      <c r="D84"/>
      <c r="F84"/>
      <c r="G84"/>
      <c r="H84"/>
      <c r="I84"/>
      <c r="J84"/>
    </row>
    <row r="85" spans="1:10" x14ac:dyDescent="0.25">
      <c r="A85" s="16">
        <v>83</v>
      </c>
      <c r="D85"/>
      <c r="F85"/>
      <c r="G85"/>
      <c r="H85"/>
      <c r="I85"/>
      <c r="J85"/>
    </row>
    <row r="86" spans="1:10" x14ac:dyDescent="0.25">
      <c r="A86" s="16">
        <v>84</v>
      </c>
      <c r="D86"/>
      <c r="F86"/>
      <c r="G86"/>
      <c r="H86"/>
      <c r="I86"/>
      <c r="J86"/>
    </row>
    <row r="87" spans="1:10" x14ac:dyDescent="0.25">
      <c r="A87" s="16">
        <v>85</v>
      </c>
      <c r="D87"/>
      <c r="F87"/>
      <c r="G87"/>
      <c r="H87"/>
      <c r="I87"/>
      <c r="J87"/>
    </row>
    <row r="88" spans="1:10" x14ac:dyDescent="0.25">
      <c r="A88" s="16">
        <v>86</v>
      </c>
      <c r="D88"/>
      <c r="F88"/>
      <c r="G88"/>
      <c r="H88"/>
      <c r="I88"/>
      <c r="J88"/>
    </row>
    <row r="89" spans="1:10" x14ac:dyDescent="0.25">
      <c r="A89" s="16">
        <v>87</v>
      </c>
      <c r="D89"/>
      <c r="F89"/>
      <c r="G89"/>
      <c r="H89"/>
      <c r="I89"/>
      <c r="J89"/>
    </row>
    <row r="90" spans="1:10" x14ac:dyDescent="0.25">
      <c r="A90" s="16">
        <v>88</v>
      </c>
      <c r="D90"/>
      <c r="F90"/>
      <c r="G90"/>
      <c r="H90"/>
      <c r="I90"/>
      <c r="J90"/>
    </row>
    <row r="91" spans="1:10" x14ac:dyDescent="0.25">
      <c r="A91" s="16">
        <v>89</v>
      </c>
      <c r="D91"/>
      <c r="F91"/>
      <c r="G91"/>
      <c r="H91"/>
      <c r="I91"/>
      <c r="J91"/>
    </row>
    <row r="92" spans="1:10" x14ac:dyDescent="0.25">
      <c r="A92" s="16">
        <v>90</v>
      </c>
      <c r="D92"/>
      <c r="F92"/>
      <c r="G92"/>
      <c r="H92"/>
      <c r="I92"/>
      <c r="J92"/>
    </row>
    <row r="93" spans="1:10" x14ac:dyDescent="0.25">
      <c r="A93" s="16">
        <v>91</v>
      </c>
      <c r="D93"/>
      <c r="F93"/>
      <c r="G93"/>
      <c r="H93"/>
      <c r="I93"/>
      <c r="J93"/>
    </row>
    <row r="94" spans="1:10" x14ac:dyDescent="0.25">
      <c r="A94" s="16">
        <v>92</v>
      </c>
      <c r="D94"/>
      <c r="F94"/>
      <c r="G94"/>
      <c r="H94"/>
      <c r="I94"/>
      <c r="J94"/>
    </row>
    <row r="95" spans="1:10" x14ac:dyDescent="0.25">
      <c r="A95" s="16">
        <v>93</v>
      </c>
      <c r="D95"/>
      <c r="F95"/>
      <c r="G95"/>
      <c r="H95"/>
      <c r="I95"/>
      <c r="J95"/>
    </row>
    <row r="96" spans="1:10" x14ac:dyDescent="0.25">
      <c r="A96" s="16">
        <v>94</v>
      </c>
      <c r="D96"/>
      <c r="F96"/>
      <c r="G96"/>
      <c r="H96"/>
      <c r="I96"/>
      <c r="J96"/>
    </row>
    <row r="97" spans="1:10" x14ac:dyDescent="0.25">
      <c r="A97" s="16">
        <v>95</v>
      </c>
      <c r="D97"/>
      <c r="F97"/>
      <c r="G97"/>
      <c r="H97"/>
      <c r="I97"/>
      <c r="J97"/>
    </row>
    <row r="98" spans="1:10" x14ac:dyDescent="0.25">
      <c r="A98" s="16">
        <v>96</v>
      </c>
      <c r="D98"/>
      <c r="F98"/>
      <c r="G98"/>
      <c r="H98"/>
      <c r="I98"/>
      <c r="J98"/>
    </row>
    <row r="99" spans="1:10" x14ac:dyDescent="0.25">
      <c r="A99" s="16">
        <v>97</v>
      </c>
      <c r="D99"/>
      <c r="F99"/>
      <c r="G99"/>
      <c r="H99"/>
      <c r="I99"/>
      <c r="J99"/>
    </row>
    <row r="100" spans="1:10" x14ac:dyDescent="0.25">
      <c r="A100" s="16">
        <v>98</v>
      </c>
      <c r="D100"/>
      <c r="F100"/>
      <c r="G100"/>
      <c r="H100"/>
      <c r="I100"/>
      <c r="J100"/>
    </row>
    <row r="101" spans="1:10" x14ac:dyDescent="0.25">
      <c r="A101" s="16">
        <v>99</v>
      </c>
      <c r="D101"/>
      <c r="F101"/>
      <c r="G101"/>
      <c r="H101"/>
      <c r="I101"/>
      <c r="J101"/>
    </row>
    <row r="102" spans="1:10" x14ac:dyDescent="0.25">
      <c r="A102" s="16">
        <v>100</v>
      </c>
      <c r="D102"/>
      <c r="F102"/>
      <c r="G102"/>
      <c r="H102"/>
      <c r="I102"/>
      <c r="J102"/>
    </row>
    <row r="103" spans="1:10" x14ac:dyDescent="0.25">
      <c r="A103" s="16">
        <v>101</v>
      </c>
      <c r="D103"/>
      <c r="F103"/>
      <c r="G103"/>
      <c r="H103"/>
      <c r="I103"/>
      <c r="J103"/>
    </row>
    <row r="104" spans="1:10" x14ac:dyDescent="0.25">
      <c r="A104" s="16">
        <v>102</v>
      </c>
      <c r="D104"/>
      <c r="F104"/>
      <c r="G104"/>
      <c r="H104"/>
      <c r="I104"/>
      <c r="J104"/>
    </row>
    <row r="105" spans="1:10" x14ac:dyDescent="0.25">
      <c r="A105" s="16">
        <v>103</v>
      </c>
      <c r="D105"/>
      <c r="F105"/>
      <c r="G105"/>
      <c r="H105"/>
      <c r="I105"/>
      <c r="J105"/>
    </row>
    <row r="106" spans="1:10" x14ac:dyDescent="0.25">
      <c r="A106" s="16">
        <v>104</v>
      </c>
      <c r="D106"/>
      <c r="F106"/>
      <c r="G106"/>
      <c r="H106"/>
      <c r="I106"/>
      <c r="J106"/>
    </row>
    <row r="107" spans="1:10" x14ac:dyDescent="0.25">
      <c r="A107" s="16">
        <v>105</v>
      </c>
      <c r="D107"/>
      <c r="F107"/>
      <c r="G107"/>
      <c r="H107"/>
      <c r="I107"/>
      <c r="J107"/>
    </row>
    <row r="108" spans="1:10" x14ac:dyDescent="0.25">
      <c r="A108" s="16">
        <v>106</v>
      </c>
      <c r="D108"/>
      <c r="F108"/>
      <c r="G108"/>
      <c r="H108"/>
      <c r="I108"/>
      <c r="J108"/>
    </row>
    <row r="109" spans="1:10" x14ac:dyDescent="0.25">
      <c r="A109" s="16">
        <v>107</v>
      </c>
      <c r="D109"/>
      <c r="F109"/>
      <c r="G109"/>
      <c r="H109"/>
      <c r="I109"/>
      <c r="J109"/>
    </row>
    <row r="110" spans="1:10" x14ac:dyDescent="0.25">
      <c r="A110" s="16">
        <v>108</v>
      </c>
      <c r="D110"/>
      <c r="F110"/>
      <c r="G110"/>
      <c r="H110"/>
      <c r="I110"/>
      <c r="J110"/>
    </row>
    <row r="111" spans="1:10" x14ac:dyDescent="0.25">
      <c r="A111" s="16">
        <v>109</v>
      </c>
      <c r="D111"/>
      <c r="F111"/>
      <c r="G111"/>
      <c r="H111"/>
      <c r="I111"/>
      <c r="J111"/>
    </row>
    <row r="112" spans="1:10" x14ac:dyDescent="0.25">
      <c r="A112" s="16">
        <v>110</v>
      </c>
      <c r="D112"/>
      <c r="F112"/>
      <c r="G112"/>
      <c r="H112"/>
      <c r="I112"/>
      <c r="J112"/>
    </row>
    <row r="113" spans="1:10" x14ac:dyDescent="0.25">
      <c r="A113" s="16">
        <v>111</v>
      </c>
      <c r="D113"/>
      <c r="F113"/>
      <c r="G113"/>
      <c r="H113"/>
      <c r="I113"/>
      <c r="J113"/>
    </row>
    <row r="114" spans="1:10" x14ac:dyDescent="0.25">
      <c r="A114" s="16">
        <v>112</v>
      </c>
      <c r="D114"/>
      <c r="F114"/>
      <c r="G114"/>
      <c r="H114"/>
      <c r="I114"/>
      <c r="J114"/>
    </row>
    <row r="115" spans="1:10" x14ac:dyDescent="0.25">
      <c r="A115" s="16">
        <v>113</v>
      </c>
      <c r="D115"/>
      <c r="F115"/>
      <c r="G115"/>
      <c r="H115"/>
      <c r="I115"/>
      <c r="J115"/>
    </row>
    <row r="116" spans="1:10" x14ac:dyDescent="0.25">
      <c r="A116" s="16">
        <v>114</v>
      </c>
      <c r="D116"/>
      <c r="F116"/>
      <c r="G116"/>
      <c r="H116"/>
      <c r="I116"/>
      <c r="J116"/>
    </row>
    <row r="117" spans="1:10" x14ac:dyDescent="0.25">
      <c r="A117" s="16">
        <v>115</v>
      </c>
      <c r="D117"/>
      <c r="F117"/>
      <c r="G117"/>
      <c r="H117"/>
      <c r="I117"/>
      <c r="J117"/>
    </row>
    <row r="118" spans="1:10" x14ac:dyDescent="0.25">
      <c r="A118" s="16">
        <v>116</v>
      </c>
      <c r="D118"/>
      <c r="F118"/>
      <c r="G118"/>
      <c r="H118"/>
      <c r="I118"/>
      <c r="J118"/>
    </row>
    <row r="119" spans="1:10" x14ac:dyDescent="0.25">
      <c r="A119" s="16">
        <v>117</v>
      </c>
      <c r="D119"/>
      <c r="F119"/>
      <c r="G119"/>
      <c r="H119"/>
      <c r="I119"/>
      <c r="J119"/>
    </row>
    <row r="120" spans="1:10" x14ac:dyDescent="0.25">
      <c r="A120" s="16">
        <v>118</v>
      </c>
      <c r="D120"/>
      <c r="F120"/>
      <c r="G120"/>
      <c r="H120"/>
      <c r="I120"/>
      <c r="J120"/>
    </row>
    <row r="121" spans="1:10" x14ac:dyDescent="0.25">
      <c r="A121" s="16">
        <v>119</v>
      </c>
      <c r="D121"/>
      <c r="F121"/>
      <c r="G121"/>
      <c r="H121"/>
      <c r="I121"/>
      <c r="J121"/>
    </row>
    <row r="122" spans="1:10" x14ac:dyDescent="0.25">
      <c r="A122" s="16">
        <v>120</v>
      </c>
      <c r="D122"/>
      <c r="F122"/>
      <c r="G122"/>
      <c r="H122"/>
      <c r="I122"/>
      <c r="J122"/>
    </row>
    <row r="123" spans="1:10" x14ac:dyDescent="0.25">
      <c r="A123" s="16">
        <v>121</v>
      </c>
      <c r="D123"/>
      <c r="F123"/>
      <c r="G123"/>
      <c r="H123"/>
      <c r="I123"/>
      <c r="J123"/>
    </row>
    <row r="124" spans="1:10" x14ac:dyDescent="0.25">
      <c r="A124" s="16">
        <v>122</v>
      </c>
      <c r="D124"/>
      <c r="F124"/>
      <c r="G124"/>
      <c r="H124"/>
      <c r="I124"/>
      <c r="J124"/>
    </row>
    <row r="125" spans="1:10" x14ac:dyDescent="0.25">
      <c r="A125" s="16">
        <v>123</v>
      </c>
      <c r="D125"/>
      <c r="F125"/>
      <c r="G125"/>
      <c r="H125"/>
      <c r="I125"/>
      <c r="J125"/>
    </row>
    <row r="126" spans="1:10" x14ac:dyDescent="0.25">
      <c r="A126" s="16">
        <v>124</v>
      </c>
      <c r="D126"/>
      <c r="F126"/>
      <c r="G126"/>
      <c r="H126"/>
      <c r="I126"/>
      <c r="J126"/>
    </row>
    <row r="127" spans="1:10" x14ac:dyDescent="0.25">
      <c r="A127" s="16">
        <v>125</v>
      </c>
      <c r="D127"/>
      <c r="F127"/>
      <c r="G127"/>
      <c r="H127"/>
      <c r="I127"/>
      <c r="J127"/>
    </row>
    <row r="128" spans="1:10" x14ac:dyDescent="0.25">
      <c r="A128" s="16">
        <v>126</v>
      </c>
      <c r="D128"/>
      <c r="F128"/>
      <c r="G128"/>
      <c r="H128"/>
      <c r="I128"/>
      <c r="J128"/>
    </row>
    <row r="129" spans="1:10" x14ac:dyDescent="0.25">
      <c r="A129" s="16">
        <v>127</v>
      </c>
      <c r="D129"/>
      <c r="F129"/>
      <c r="G129"/>
      <c r="H129"/>
      <c r="I129"/>
      <c r="J129"/>
    </row>
    <row r="130" spans="1:10" x14ac:dyDescent="0.25">
      <c r="A130" s="16">
        <v>128</v>
      </c>
      <c r="D130"/>
      <c r="F130"/>
      <c r="G130"/>
      <c r="H130"/>
      <c r="I130"/>
      <c r="J130"/>
    </row>
    <row r="131" spans="1:10" x14ac:dyDescent="0.25">
      <c r="A131" s="16">
        <v>129</v>
      </c>
      <c r="D131"/>
      <c r="F131"/>
      <c r="G131"/>
      <c r="H131"/>
      <c r="I131"/>
      <c r="J131"/>
    </row>
    <row r="132" spans="1:10" x14ac:dyDescent="0.25">
      <c r="A132" s="16">
        <v>130</v>
      </c>
      <c r="D132"/>
      <c r="F132"/>
      <c r="G132"/>
      <c r="H132"/>
      <c r="I132"/>
      <c r="J132"/>
    </row>
    <row r="133" spans="1:10" x14ac:dyDescent="0.25">
      <c r="A133" s="16">
        <v>131</v>
      </c>
      <c r="D133"/>
      <c r="F133"/>
      <c r="G133"/>
      <c r="H133"/>
      <c r="I133"/>
      <c r="J133"/>
    </row>
    <row r="134" spans="1:10" x14ac:dyDescent="0.25">
      <c r="A134" s="16">
        <v>132</v>
      </c>
      <c r="D134"/>
      <c r="F134"/>
      <c r="G134"/>
      <c r="H134"/>
      <c r="I134"/>
      <c r="J134"/>
    </row>
    <row r="135" spans="1:10" x14ac:dyDescent="0.25">
      <c r="A135" s="16">
        <v>133</v>
      </c>
      <c r="D135"/>
      <c r="F135"/>
      <c r="G135"/>
      <c r="H135"/>
      <c r="I135"/>
      <c r="J135"/>
    </row>
    <row r="136" spans="1:10" x14ac:dyDescent="0.25">
      <c r="A136" s="16">
        <v>134</v>
      </c>
      <c r="D136"/>
      <c r="F136"/>
      <c r="G136"/>
      <c r="H136"/>
      <c r="I136"/>
      <c r="J136"/>
    </row>
    <row r="137" spans="1:10" x14ac:dyDescent="0.25">
      <c r="A137" s="16">
        <v>135</v>
      </c>
      <c r="D137"/>
      <c r="F137"/>
      <c r="G137"/>
      <c r="H137"/>
      <c r="I137"/>
      <c r="J137"/>
    </row>
    <row r="138" spans="1:10" x14ac:dyDescent="0.25">
      <c r="A138" s="16">
        <v>136</v>
      </c>
      <c r="D138"/>
      <c r="F138"/>
      <c r="G138"/>
      <c r="H138"/>
      <c r="I138"/>
      <c r="J138"/>
    </row>
    <row r="139" spans="1:10" x14ac:dyDescent="0.25">
      <c r="A139" s="16">
        <v>137</v>
      </c>
      <c r="D139"/>
      <c r="F139"/>
      <c r="G139"/>
      <c r="H139"/>
      <c r="I139"/>
      <c r="J139"/>
    </row>
    <row r="140" spans="1:10" x14ac:dyDescent="0.25">
      <c r="A140" s="16">
        <v>138</v>
      </c>
      <c r="D140"/>
      <c r="F140"/>
      <c r="G140"/>
      <c r="H140"/>
      <c r="I140"/>
      <c r="J140"/>
    </row>
    <row r="141" spans="1:10" x14ac:dyDescent="0.25">
      <c r="A141" s="16">
        <v>139</v>
      </c>
      <c r="D141"/>
      <c r="F141"/>
      <c r="G141"/>
      <c r="H141"/>
      <c r="I141"/>
      <c r="J141"/>
    </row>
    <row r="142" spans="1:10" x14ac:dyDescent="0.25">
      <c r="A142" s="16">
        <v>140</v>
      </c>
      <c r="D142"/>
      <c r="F142"/>
      <c r="G142"/>
      <c r="H142"/>
      <c r="I142"/>
      <c r="J142"/>
    </row>
    <row r="143" spans="1:10" x14ac:dyDescent="0.25">
      <c r="A143" s="16">
        <v>141</v>
      </c>
      <c r="D143"/>
      <c r="F143"/>
      <c r="G143"/>
      <c r="H143"/>
      <c r="I143"/>
      <c r="J143"/>
    </row>
    <row r="144" spans="1:10" x14ac:dyDescent="0.25">
      <c r="A144" s="16">
        <v>142</v>
      </c>
      <c r="D144"/>
      <c r="F144"/>
      <c r="G144"/>
      <c r="H144"/>
      <c r="I144"/>
      <c r="J144"/>
    </row>
    <row r="145" spans="1:10" x14ac:dyDescent="0.25">
      <c r="A145" s="16">
        <v>143</v>
      </c>
      <c r="D145"/>
      <c r="F145"/>
      <c r="G145"/>
      <c r="H145"/>
      <c r="I145"/>
      <c r="J145"/>
    </row>
    <row r="146" spans="1:10" x14ac:dyDescent="0.25">
      <c r="A146" s="16">
        <v>144</v>
      </c>
      <c r="D146"/>
      <c r="F146"/>
      <c r="G146"/>
      <c r="H146"/>
      <c r="I146"/>
      <c r="J146"/>
    </row>
    <row r="147" spans="1:10" x14ac:dyDescent="0.25">
      <c r="A147" s="16">
        <v>145</v>
      </c>
      <c r="D147"/>
      <c r="F147"/>
      <c r="G147"/>
      <c r="H147"/>
      <c r="I147"/>
      <c r="J147"/>
    </row>
    <row r="148" spans="1:10" x14ac:dyDescent="0.25">
      <c r="A148" s="16">
        <v>146</v>
      </c>
      <c r="D148"/>
      <c r="F148"/>
      <c r="G148"/>
      <c r="H148"/>
      <c r="I148"/>
      <c r="J148"/>
    </row>
    <row r="149" spans="1:10" x14ac:dyDescent="0.25">
      <c r="A149" s="16">
        <v>147</v>
      </c>
      <c r="D149"/>
      <c r="F149"/>
      <c r="G149"/>
      <c r="H149"/>
      <c r="I149"/>
      <c r="J149"/>
    </row>
    <row r="150" spans="1:10" x14ac:dyDescent="0.25">
      <c r="A150" s="16">
        <v>148</v>
      </c>
      <c r="D150"/>
      <c r="F150"/>
      <c r="G150"/>
      <c r="H150"/>
      <c r="I150"/>
      <c r="J150"/>
    </row>
    <row r="151" spans="1:10" x14ac:dyDescent="0.25">
      <c r="A151" s="16">
        <v>149</v>
      </c>
      <c r="D151"/>
      <c r="F151"/>
      <c r="G151"/>
      <c r="H151"/>
      <c r="I151"/>
      <c r="J151"/>
    </row>
    <row r="152" spans="1:10" x14ac:dyDescent="0.25">
      <c r="A152" s="16">
        <v>150</v>
      </c>
      <c r="D152"/>
      <c r="F152"/>
      <c r="G152"/>
      <c r="H152"/>
      <c r="I152"/>
      <c r="J152"/>
    </row>
    <row r="153" spans="1:10" x14ac:dyDescent="0.25">
      <c r="A153" s="16">
        <v>151</v>
      </c>
      <c r="D153"/>
      <c r="F153"/>
      <c r="G153"/>
      <c r="H153"/>
      <c r="I153"/>
      <c r="J153"/>
    </row>
    <row r="154" spans="1:10" x14ac:dyDescent="0.25">
      <c r="A154" s="16">
        <v>152</v>
      </c>
      <c r="D154"/>
      <c r="F154"/>
      <c r="G154"/>
      <c r="H154"/>
      <c r="I154"/>
      <c r="J154"/>
    </row>
    <row r="155" spans="1:10" x14ac:dyDescent="0.25">
      <c r="A155" s="16">
        <v>153</v>
      </c>
      <c r="D155"/>
      <c r="F155"/>
      <c r="G155"/>
      <c r="H155"/>
      <c r="I155"/>
      <c r="J155"/>
    </row>
    <row r="156" spans="1:10" x14ac:dyDescent="0.25">
      <c r="A156" s="16">
        <v>154</v>
      </c>
      <c r="D156"/>
      <c r="F156"/>
      <c r="G156"/>
      <c r="H156"/>
      <c r="I156"/>
      <c r="J156"/>
    </row>
    <row r="157" spans="1:10" x14ac:dyDescent="0.25">
      <c r="A157" s="16">
        <v>155</v>
      </c>
      <c r="D157"/>
      <c r="F157"/>
      <c r="G157"/>
      <c r="H157"/>
      <c r="I157"/>
      <c r="J157"/>
    </row>
    <row r="158" spans="1:10" x14ac:dyDescent="0.25">
      <c r="A158" s="16">
        <v>156</v>
      </c>
      <c r="D158"/>
      <c r="F158"/>
      <c r="G158"/>
      <c r="H158"/>
      <c r="I158"/>
      <c r="J158"/>
    </row>
    <row r="159" spans="1:10" x14ac:dyDescent="0.25">
      <c r="A159" s="16">
        <v>157</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CAF3-EDFC-4DB7-8B8D-CE2F7DD6A947}">
  <sheetPr codeName="Sheet15">
    <tabColor theme="9" tint="0.79998168889431442"/>
  </sheetPr>
  <dimension ref="A1:G100"/>
  <sheetViews>
    <sheetView zoomScale="115" zoomScaleNormal="115" workbookViewId="0">
      <pane ySplit="1" topLeftCell="A2" activePane="bottomLeft" state="frozen"/>
      <selection activeCell="D23" sqref="D23"/>
      <selection pane="bottomLeft" activeCell="D23" sqref="D23"/>
    </sheetView>
  </sheetViews>
  <sheetFormatPr defaultRowHeight="15" x14ac:dyDescent="0.25"/>
  <cols>
    <col min="1" max="1" width="12.140625" customWidth="1"/>
    <col min="2" max="4" width="31.7109375" style="85" customWidth="1"/>
    <col min="5" max="5" width="12.28515625" style="4" customWidth="1"/>
    <col min="6" max="6" width="20.42578125" customWidth="1"/>
    <col min="9" max="9" width="29.42578125" bestFit="1" customWidth="1"/>
  </cols>
  <sheetData>
    <row r="1" spans="1:7" ht="27.75" customHeight="1" thickBot="1" x14ac:dyDescent="0.3">
      <c r="A1" s="79" t="s">
        <v>181</v>
      </c>
      <c r="B1" s="80" t="s">
        <v>182</v>
      </c>
      <c r="C1" s="81" t="s">
        <v>75</v>
      </c>
      <c r="D1" s="81" t="s">
        <v>76</v>
      </c>
      <c r="E1" s="82" t="s">
        <v>183</v>
      </c>
      <c r="F1" s="83" t="s">
        <v>184</v>
      </c>
      <c r="G1" s="84">
        <f>COUNTIF(B:B,"&lt;&gt;"&amp;"")-1</f>
        <v>10</v>
      </c>
    </row>
    <row r="2" spans="1:7" x14ac:dyDescent="0.25">
      <c r="A2" s="16">
        <v>1</v>
      </c>
      <c r="B2" t="s">
        <v>82</v>
      </c>
      <c r="C2" t="s">
        <v>185</v>
      </c>
      <c r="D2" t="s">
        <v>186</v>
      </c>
      <c r="E2" s="51">
        <f>IF(LEN(B2)&gt;0,COUNTIF(Projects!G:G,Markers!A2),"")</f>
        <v>3</v>
      </c>
      <c r="F2" s="394" t="s">
        <v>53</v>
      </c>
      <c r="G2" s="395"/>
    </row>
    <row r="3" spans="1:7" x14ac:dyDescent="0.25">
      <c r="A3" s="16">
        <v>2</v>
      </c>
      <c r="B3" t="s">
        <v>86</v>
      </c>
      <c r="C3" t="s">
        <v>187</v>
      </c>
      <c r="D3" t="s">
        <v>188</v>
      </c>
      <c r="E3" s="51">
        <f>IF(LEN(B3)&gt;0,COUNTIF(Projects!G:G,Markers!A3),"")</f>
        <v>3</v>
      </c>
      <c r="F3" s="384"/>
      <c r="G3" s="385"/>
    </row>
    <row r="4" spans="1:7" x14ac:dyDescent="0.25">
      <c r="A4" s="16">
        <v>3</v>
      </c>
      <c r="B4" t="s">
        <v>90</v>
      </c>
      <c r="C4" t="s">
        <v>189</v>
      </c>
      <c r="D4" t="s">
        <v>190</v>
      </c>
      <c r="E4" s="51">
        <f>IF(LEN(B4)&gt;0,COUNTIF(Projects!G:G,Markers!A4),"")</f>
        <v>3</v>
      </c>
      <c r="F4" s="384"/>
      <c r="G4" s="385"/>
    </row>
    <row r="5" spans="1:7" x14ac:dyDescent="0.25">
      <c r="A5" s="16">
        <v>4</v>
      </c>
      <c r="B5" t="s">
        <v>94</v>
      </c>
      <c r="C5" t="s">
        <v>191</v>
      </c>
      <c r="D5" t="s">
        <v>192</v>
      </c>
      <c r="E5" s="51">
        <f>IF(LEN(B5)&gt;0,COUNTIF(Projects!G:G,Markers!A5),"")</f>
        <v>3</v>
      </c>
      <c r="F5" s="384"/>
      <c r="G5" s="385"/>
    </row>
    <row r="6" spans="1:7" x14ac:dyDescent="0.25">
      <c r="A6" s="16">
        <v>5</v>
      </c>
      <c r="B6" t="s">
        <v>98</v>
      </c>
      <c r="C6" t="s">
        <v>193</v>
      </c>
      <c r="D6" t="s">
        <v>194</v>
      </c>
      <c r="E6" s="51">
        <f>IF(LEN(B6)&gt;0,COUNTIF(Projects!G:G,Markers!A6),"")</f>
        <v>2</v>
      </c>
    </row>
    <row r="7" spans="1:7" x14ac:dyDescent="0.25">
      <c r="A7" s="16">
        <v>6</v>
      </c>
      <c r="B7" t="s">
        <v>102</v>
      </c>
      <c r="C7" t="s">
        <v>195</v>
      </c>
      <c r="D7" t="s">
        <v>196</v>
      </c>
      <c r="E7" s="51">
        <f>IF(LEN(B7)&gt;0,COUNTIF(Projects!G:G,Markers!A7),"")</f>
        <v>2</v>
      </c>
    </row>
    <row r="8" spans="1:7" x14ac:dyDescent="0.25">
      <c r="A8" s="16">
        <v>7</v>
      </c>
      <c r="B8" t="s">
        <v>106</v>
      </c>
      <c r="C8" t="s">
        <v>197</v>
      </c>
      <c r="D8" t="s">
        <v>198</v>
      </c>
      <c r="E8" s="51">
        <f>IF(LEN(B8)&gt;0,COUNTIF(Projects!G:G,Markers!A8),"")</f>
        <v>1</v>
      </c>
    </row>
    <row r="9" spans="1:7" x14ac:dyDescent="0.25">
      <c r="A9" s="16">
        <v>8</v>
      </c>
      <c r="B9" t="s">
        <v>110</v>
      </c>
      <c r="C9" t="s">
        <v>199</v>
      </c>
      <c r="D9" t="s">
        <v>200</v>
      </c>
      <c r="E9" s="51">
        <f>IF(LEN(B9)&gt;0,COUNTIF(Projects!G:G,Markers!A9),"")</f>
        <v>2</v>
      </c>
    </row>
    <row r="10" spans="1:7" x14ac:dyDescent="0.25">
      <c r="A10" s="16">
        <v>9</v>
      </c>
      <c r="B10" t="s">
        <v>114</v>
      </c>
      <c r="C10" t="s">
        <v>201</v>
      </c>
      <c r="D10" t="s">
        <v>202</v>
      </c>
      <c r="E10" s="51">
        <f>IF(LEN(B10)&gt;0,COUNTIF(Projects!G:G,Markers!A10),"")</f>
        <v>2</v>
      </c>
    </row>
    <row r="11" spans="1:7" x14ac:dyDescent="0.25">
      <c r="A11" s="16">
        <v>10</v>
      </c>
      <c r="B11" t="s">
        <v>118</v>
      </c>
      <c r="C11" t="s">
        <v>203</v>
      </c>
      <c r="D11" t="s">
        <v>204</v>
      </c>
      <c r="E11" s="51">
        <f>IF(LEN(B11)&gt;0,COUNTIF(Projects!G:G,Markers!A11),"")</f>
        <v>2</v>
      </c>
    </row>
    <row r="12" spans="1:7" x14ac:dyDescent="0.25">
      <c r="A12" s="16">
        <v>11</v>
      </c>
      <c r="B12"/>
      <c r="C12"/>
      <c r="D12"/>
      <c r="E12" s="51" t="str">
        <f>IF(LEN(B12)&gt;0,COUNTIF(Projects!G:G,Markers!A12),"")</f>
        <v/>
      </c>
    </row>
    <row r="13" spans="1:7" x14ac:dyDescent="0.25">
      <c r="A13" s="16">
        <v>12</v>
      </c>
      <c r="B13"/>
      <c r="C13"/>
      <c r="D13"/>
      <c r="E13" s="51" t="str">
        <f>IF(LEN(B13)&gt;0,COUNTIF(Projects!G:G,Markers!A13),"")</f>
        <v/>
      </c>
    </row>
    <row r="14" spans="1:7" x14ac:dyDescent="0.25">
      <c r="A14" s="16">
        <v>13</v>
      </c>
      <c r="B14"/>
      <c r="C14"/>
      <c r="D14"/>
      <c r="E14" s="51" t="str">
        <f>IF(LEN(B14)&gt;0,COUNTIF(Projects!G:G,Markers!A14),"")</f>
        <v/>
      </c>
    </row>
    <row r="15" spans="1:7" x14ac:dyDescent="0.25">
      <c r="A15" s="16">
        <v>14</v>
      </c>
      <c r="B15"/>
      <c r="C15"/>
      <c r="D15"/>
      <c r="E15" s="51" t="str">
        <f>IF(LEN(B15)&gt;0,COUNTIF(Projects!G:G,Markers!A15),"")</f>
        <v/>
      </c>
    </row>
    <row r="16" spans="1:7" x14ac:dyDescent="0.25">
      <c r="A16" s="16">
        <v>15</v>
      </c>
      <c r="B16"/>
      <c r="C16"/>
      <c r="D16"/>
      <c r="E16" s="51" t="str">
        <f>IF(LEN(B16)&gt;0,COUNTIF(Projects!G:G,Markers!A16),"")</f>
        <v/>
      </c>
    </row>
    <row r="17" spans="1:5" x14ac:dyDescent="0.25">
      <c r="A17" s="16">
        <v>16</v>
      </c>
      <c r="B17"/>
      <c r="C17"/>
      <c r="D17"/>
      <c r="E17" s="51" t="str">
        <f>IF(LEN(B17)&gt;0,COUNTIF(Projects!G:G,Markers!A17),"")</f>
        <v/>
      </c>
    </row>
    <row r="18" spans="1:5" x14ac:dyDescent="0.25">
      <c r="A18" s="16">
        <v>17</v>
      </c>
      <c r="B18"/>
      <c r="C18"/>
      <c r="D18"/>
      <c r="E18" s="51" t="str">
        <f>IF(LEN(B18)&gt;0,COUNTIF(Projects!G:G,Markers!A18),"")</f>
        <v/>
      </c>
    </row>
    <row r="19" spans="1:5" x14ac:dyDescent="0.25">
      <c r="A19" s="16">
        <v>18</v>
      </c>
      <c r="B19"/>
      <c r="C19"/>
      <c r="D19"/>
      <c r="E19" s="51" t="str">
        <f>IF(LEN(B19)&gt;0,COUNTIF(Projects!G:G,Markers!A19),"")</f>
        <v/>
      </c>
    </row>
    <row r="20" spans="1:5" x14ac:dyDescent="0.25">
      <c r="A20" s="16">
        <v>19</v>
      </c>
      <c r="B20"/>
      <c r="C20"/>
      <c r="D20"/>
      <c r="E20" s="51" t="str">
        <f>IF(LEN(B20)&gt;0,COUNTIF(Projects!G:G,Markers!A20),"")</f>
        <v/>
      </c>
    </row>
    <row r="21" spans="1:5" x14ac:dyDescent="0.25">
      <c r="A21" s="16">
        <v>20</v>
      </c>
      <c r="B21"/>
      <c r="C21"/>
      <c r="D21"/>
      <c r="E21" s="51" t="str">
        <f>IF(LEN(B21)&gt;0,COUNTIF(Projects!G:G,Markers!A21),"")</f>
        <v/>
      </c>
    </row>
    <row r="22" spans="1:5" x14ac:dyDescent="0.25">
      <c r="A22" s="16">
        <v>21</v>
      </c>
      <c r="B22"/>
      <c r="C22"/>
      <c r="D22"/>
      <c r="E22" s="51" t="str">
        <f>IF(LEN(B22)&gt;0,COUNTIF(Projects!G:G,Markers!A22),"")</f>
        <v/>
      </c>
    </row>
    <row r="23" spans="1:5" x14ac:dyDescent="0.25">
      <c r="A23" s="16">
        <v>22</v>
      </c>
      <c r="B23"/>
      <c r="C23"/>
      <c r="D23"/>
      <c r="E23" s="51" t="str">
        <f>IF(LEN(B23)&gt;0,COUNTIF(Projects!G:G,Markers!A23),"")</f>
        <v/>
      </c>
    </row>
    <row r="24" spans="1:5" x14ac:dyDescent="0.25">
      <c r="A24" s="16">
        <v>23</v>
      </c>
      <c r="B24"/>
      <c r="C24"/>
      <c r="D24"/>
      <c r="E24" s="51" t="str">
        <f>IF(LEN(B24)&gt;0,COUNTIF(Projects!G:G,Markers!A24),"")</f>
        <v/>
      </c>
    </row>
    <row r="25" spans="1:5" x14ac:dyDescent="0.25">
      <c r="A25" s="16">
        <v>24</v>
      </c>
      <c r="B25"/>
      <c r="C25"/>
      <c r="D25"/>
      <c r="E25" s="51" t="str">
        <f>IF(LEN(B25)&gt;0,COUNTIF(Projects!G:G,Markers!A25),"")</f>
        <v/>
      </c>
    </row>
    <row r="26" spans="1:5" x14ac:dyDescent="0.25">
      <c r="A26" s="16">
        <v>25</v>
      </c>
      <c r="B26"/>
      <c r="C26"/>
      <c r="D26"/>
      <c r="E26" s="51" t="str">
        <f>IF(LEN(B26)&gt;0,COUNTIF(Projects!G:G,Markers!A26),"")</f>
        <v/>
      </c>
    </row>
    <row r="27" spans="1:5" x14ac:dyDescent="0.25">
      <c r="A27" s="16">
        <v>26</v>
      </c>
      <c r="B27"/>
      <c r="C27"/>
      <c r="D27"/>
      <c r="E27" s="51" t="str">
        <f>IF(LEN(B27)&gt;0,COUNTIF(Projects!G:G,Markers!A27),"")</f>
        <v/>
      </c>
    </row>
    <row r="28" spans="1:5" x14ac:dyDescent="0.25">
      <c r="A28" s="16">
        <v>27</v>
      </c>
      <c r="B28"/>
      <c r="C28"/>
      <c r="D28"/>
      <c r="E28" s="51" t="str">
        <f>IF(LEN(B28)&gt;0,COUNTIF(Projects!G:G,Markers!A28),"")</f>
        <v/>
      </c>
    </row>
    <row r="29" spans="1:5" x14ac:dyDescent="0.25">
      <c r="A29" s="16">
        <v>28</v>
      </c>
      <c r="B29"/>
      <c r="C29"/>
      <c r="D29"/>
      <c r="E29" s="51" t="str">
        <f>IF(LEN(B29)&gt;0,COUNTIF(Projects!G:G,Markers!A29),"")</f>
        <v/>
      </c>
    </row>
    <row r="30" spans="1:5" x14ac:dyDescent="0.25">
      <c r="A30" s="16">
        <v>29</v>
      </c>
      <c r="B30"/>
      <c r="C30"/>
      <c r="D30"/>
      <c r="E30" s="51" t="str">
        <f>IF(LEN(B30)&gt;0,COUNTIF(Projects!G:G,Markers!A30),"")</f>
        <v/>
      </c>
    </row>
    <row r="31" spans="1:5" x14ac:dyDescent="0.25">
      <c r="A31" s="16">
        <v>30</v>
      </c>
      <c r="B31"/>
      <c r="C31"/>
      <c r="D31"/>
      <c r="E31" s="51" t="str">
        <f>IF(LEN(B31)&gt;0,COUNTIF(Projects!G:G,Markers!A31),"")</f>
        <v/>
      </c>
    </row>
    <row r="32" spans="1:5" x14ac:dyDescent="0.25">
      <c r="A32" s="16">
        <v>31</v>
      </c>
      <c r="B32"/>
      <c r="C32"/>
      <c r="D32"/>
      <c r="E32" s="51" t="str">
        <f>IF(LEN(B32)&gt;0,COUNTIF(Projects!G:G,Markers!A32),"")</f>
        <v/>
      </c>
    </row>
    <row r="33" spans="1:5" x14ac:dyDescent="0.25">
      <c r="A33" s="16">
        <v>32</v>
      </c>
      <c r="B33"/>
      <c r="C33"/>
      <c r="D33"/>
      <c r="E33" s="51" t="str">
        <f>IF(LEN(B33)&gt;0,COUNTIF(Projects!G:G,Markers!A33),"")</f>
        <v/>
      </c>
    </row>
    <row r="34" spans="1:5" x14ac:dyDescent="0.25">
      <c r="A34" s="16">
        <v>33</v>
      </c>
      <c r="B34"/>
      <c r="C34"/>
      <c r="D34"/>
      <c r="E34" s="51" t="str">
        <f>IF(LEN(B34)&gt;0,COUNTIF(Projects!G:G,Markers!A34),"")</f>
        <v/>
      </c>
    </row>
    <row r="35" spans="1:5" x14ac:dyDescent="0.25">
      <c r="A35" s="16">
        <v>34</v>
      </c>
      <c r="B35"/>
      <c r="C35"/>
      <c r="D35"/>
      <c r="E35" s="51" t="str">
        <f>IF(LEN(B35)&gt;0,COUNTIF(Projects!G:G,Markers!A35),"")</f>
        <v/>
      </c>
    </row>
    <row r="36" spans="1:5" x14ac:dyDescent="0.25">
      <c r="A36" s="16">
        <v>35</v>
      </c>
      <c r="B36"/>
      <c r="C36"/>
      <c r="D36"/>
      <c r="E36" s="51" t="str">
        <f>IF(LEN(B36)&gt;0,COUNTIF(Projects!G:G,Markers!A36),"")</f>
        <v/>
      </c>
    </row>
    <row r="37" spans="1:5" x14ac:dyDescent="0.25">
      <c r="A37" s="16">
        <v>36</v>
      </c>
      <c r="B37"/>
      <c r="C37"/>
      <c r="D37"/>
      <c r="E37" s="51" t="str">
        <f>IF(LEN(B37)&gt;0,COUNTIF(Projects!G:G,Markers!A37),"")</f>
        <v/>
      </c>
    </row>
    <row r="38" spans="1:5" x14ac:dyDescent="0.25">
      <c r="A38" s="16">
        <v>37</v>
      </c>
      <c r="B38"/>
      <c r="C38"/>
      <c r="D38"/>
      <c r="E38" s="51" t="str">
        <f>IF(LEN(B38)&gt;0,COUNTIF(Projects!G:G,Markers!A38),"")</f>
        <v/>
      </c>
    </row>
    <row r="39" spans="1:5" x14ac:dyDescent="0.25">
      <c r="A39" s="16">
        <v>38</v>
      </c>
      <c r="B39"/>
      <c r="C39"/>
      <c r="D39"/>
      <c r="E39" s="51" t="str">
        <f>IF(LEN(B39)&gt;0,COUNTIF(Projects!G:G,Markers!A39),"")</f>
        <v/>
      </c>
    </row>
    <row r="40" spans="1:5" x14ac:dyDescent="0.25">
      <c r="A40" s="16">
        <v>39</v>
      </c>
      <c r="B40"/>
      <c r="C40"/>
      <c r="D40"/>
      <c r="E40" s="51" t="str">
        <f>IF(LEN(B40)&gt;0,COUNTIF(Projects!G:G,Markers!A40),"")</f>
        <v/>
      </c>
    </row>
    <row r="41" spans="1:5" x14ac:dyDescent="0.25">
      <c r="A41" s="16">
        <v>40</v>
      </c>
      <c r="B41"/>
      <c r="C41"/>
      <c r="D41"/>
      <c r="E41" s="51" t="str">
        <f>IF(LEN(B41)&gt;0,COUNTIF(Projects!G:G,Markers!A41),"")</f>
        <v/>
      </c>
    </row>
    <row r="42" spans="1:5" x14ac:dyDescent="0.25">
      <c r="A42" s="16">
        <v>41</v>
      </c>
      <c r="B42"/>
      <c r="C42"/>
      <c r="D42"/>
      <c r="E42" s="51" t="str">
        <f>IF(LEN(B42)&gt;0,COUNTIF(Projects!G:G,Markers!A42),"")</f>
        <v/>
      </c>
    </row>
    <row r="43" spans="1:5" x14ac:dyDescent="0.25">
      <c r="A43" s="16">
        <v>42</v>
      </c>
      <c r="B43"/>
      <c r="C43"/>
      <c r="D43"/>
      <c r="E43" s="51" t="str">
        <f>IF(LEN(B43)&gt;0,COUNTIF(Projects!G:G,Markers!A43),"")</f>
        <v/>
      </c>
    </row>
    <row r="44" spans="1:5" x14ac:dyDescent="0.25">
      <c r="A44" s="16">
        <v>43</v>
      </c>
      <c r="B44"/>
      <c r="C44"/>
      <c r="D44"/>
      <c r="E44" s="51" t="str">
        <f>IF(LEN(B44)&gt;0,COUNTIF(Projects!G:G,Markers!A44),"")</f>
        <v/>
      </c>
    </row>
    <row r="45" spans="1:5" x14ac:dyDescent="0.25">
      <c r="A45" s="16">
        <v>44</v>
      </c>
      <c r="B45"/>
      <c r="C45"/>
      <c r="D45"/>
      <c r="E45" s="51" t="str">
        <f>IF(LEN(B45)&gt;0,COUNTIF(Projects!G:G,Markers!A45),"")</f>
        <v/>
      </c>
    </row>
    <row r="46" spans="1:5" x14ac:dyDescent="0.25">
      <c r="A46" s="16">
        <v>45</v>
      </c>
      <c r="B46"/>
      <c r="C46"/>
      <c r="D46"/>
      <c r="E46" s="51" t="str">
        <f>IF(LEN(B46)&gt;0,COUNTIF(Projects!G:G,Markers!A46),"")</f>
        <v/>
      </c>
    </row>
    <row r="47" spans="1:5" x14ac:dyDescent="0.25">
      <c r="A47" s="16">
        <v>46</v>
      </c>
      <c r="B47"/>
      <c r="C47"/>
      <c r="D47"/>
      <c r="E47" s="51" t="str">
        <f>IF(LEN(B47)&gt;0,COUNTIF(Projects!G:G,Markers!A47),"")</f>
        <v/>
      </c>
    </row>
    <row r="48" spans="1:5" x14ac:dyDescent="0.25">
      <c r="A48" s="16">
        <v>47</v>
      </c>
      <c r="B48"/>
      <c r="C48"/>
      <c r="D48"/>
      <c r="E48" s="51" t="str">
        <f>IF(LEN(B48)&gt;0,COUNTIF(Projects!G:G,Markers!A48),"")</f>
        <v/>
      </c>
    </row>
    <row r="49" spans="1:5" x14ac:dyDescent="0.25">
      <c r="A49" s="16">
        <v>48</v>
      </c>
      <c r="B49"/>
      <c r="C49"/>
      <c r="D49"/>
      <c r="E49" s="51" t="str">
        <f>IF(LEN(B49)&gt;0,COUNTIF(Projects!G:G,Markers!A49),"")</f>
        <v/>
      </c>
    </row>
    <row r="50" spans="1:5" x14ac:dyDescent="0.25">
      <c r="A50" s="16">
        <v>49</v>
      </c>
      <c r="B50"/>
      <c r="C50"/>
      <c r="D50"/>
      <c r="E50" s="51" t="str">
        <f>IF(LEN(B50)&gt;0,COUNTIF(Projects!G:G,Markers!A50),"")</f>
        <v/>
      </c>
    </row>
    <row r="51" spans="1:5" x14ac:dyDescent="0.25">
      <c r="A51" s="16">
        <v>50</v>
      </c>
      <c r="B51"/>
      <c r="C51"/>
      <c r="D51"/>
      <c r="E51" s="51" t="str">
        <f>IF(LEN(B51)&gt;0,COUNTIF(Projects!G:G,Markers!A51),"")</f>
        <v/>
      </c>
    </row>
    <row r="52" spans="1:5" x14ac:dyDescent="0.25">
      <c r="A52" s="16">
        <v>51</v>
      </c>
      <c r="B52"/>
      <c r="C52"/>
      <c r="D52"/>
      <c r="E52" s="51" t="str">
        <f>IF(LEN(B52)&gt;0,COUNTIF(Projects!G:G,Markers!A52),"")</f>
        <v/>
      </c>
    </row>
    <row r="53" spans="1:5" x14ac:dyDescent="0.25">
      <c r="A53" s="16">
        <v>52</v>
      </c>
      <c r="B53"/>
      <c r="C53"/>
      <c r="D53"/>
      <c r="E53" s="51" t="str">
        <f>IF(LEN(B53)&gt;0,COUNTIF(Projects!G:G,Markers!A53),"")</f>
        <v/>
      </c>
    </row>
    <row r="54" spans="1:5" x14ac:dyDescent="0.25">
      <c r="A54" s="16">
        <v>53</v>
      </c>
      <c r="B54"/>
      <c r="C54"/>
      <c r="D54"/>
      <c r="E54" s="51" t="str">
        <f>IF(LEN(B54)&gt;0,COUNTIF(Projects!G:G,Markers!A54),"")</f>
        <v/>
      </c>
    </row>
    <row r="55" spans="1:5" x14ac:dyDescent="0.25">
      <c r="A55" s="16">
        <v>54</v>
      </c>
      <c r="B55"/>
      <c r="C55"/>
      <c r="D55"/>
      <c r="E55" s="51" t="str">
        <f>IF(LEN(B55)&gt;0,COUNTIF(Projects!G:G,Markers!A55),"")</f>
        <v/>
      </c>
    </row>
    <row r="56" spans="1:5" x14ac:dyDescent="0.25">
      <c r="A56" s="16">
        <v>55</v>
      </c>
      <c r="B56"/>
      <c r="C56"/>
      <c r="D56"/>
      <c r="E56" s="51" t="str">
        <f>IF(LEN(B56)&gt;0,COUNTIF(Projects!G:G,Markers!A56),"")</f>
        <v/>
      </c>
    </row>
    <row r="57" spans="1:5" x14ac:dyDescent="0.25">
      <c r="A57" s="16">
        <v>56</v>
      </c>
      <c r="B57"/>
      <c r="C57"/>
      <c r="D57"/>
      <c r="E57" s="51" t="str">
        <f>IF(LEN(B57)&gt;0,COUNTIF(Projects!G:G,Markers!A57),"")</f>
        <v/>
      </c>
    </row>
    <row r="58" spans="1:5" x14ac:dyDescent="0.25">
      <c r="A58" s="16">
        <v>57</v>
      </c>
      <c r="B58"/>
      <c r="C58"/>
      <c r="D58"/>
      <c r="E58" s="51" t="str">
        <f>IF(LEN(B58)&gt;0,COUNTIF(Projects!G:G,Markers!A58),"")</f>
        <v/>
      </c>
    </row>
    <row r="59" spans="1:5" x14ac:dyDescent="0.25">
      <c r="A59" s="16">
        <v>58</v>
      </c>
      <c r="B59"/>
      <c r="C59"/>
      <c r="D59"/>
      <c r="E59" s="51" t="str">
        <f>IF(LEN(B59)&gt;0,COUNTIF(Projects!G:G,Markers!A59),"")</f>
        <v/>
      </c>
    </row>
    <row r="60" spans="1:5" x14ac:dyDescent="0.25">
      <c r="A60" s="16">
        <v>59</v>
      </c>
      <c r="B60"/>
      <c r="C60"/>
      <c r="D60"/>
      <c r="E60" s="51" t="str">
        <f>IF(LEN(B60)&gt;0,COUNTIF(Projects!G:G,Markers!A60),"")</f>
        <v/>
      </c>
    </row>
    <row r="61" spans="1:5" x14ac:dyDescent="0.25">
      <c r="A61" s="16">
        <v>60</v>
      </c>
      <c r="B61"/>
      <c r="C61"/>
      <c r="D61"/>
      <c r="E61" s="51" t="str">
        <f>IF(LEN(B61)&gt;0,COUNTIF(Projects!G:G,Markers!A61),"")</f>
        <v/>
      </c>
    </row>
    <row r="62" spans="1:5" x14ac:dyDescent="0.25">
      <c r="A62" s="16">
        <v>61</v>
      </c>
      <c r="B62"/>
      <c r="C62"/>
      <c r="D62"/>
      <c r="E62" s="51" t="str">
        <f>IF(LEN(B62)&gt;0,COUNTIF(Projects!G:G,Markers!A62),"")</f>
        <v/>
      </c>
    </row>
    <row r="63" spans="1:5" x14ac:dyDescent="0.25">
      <c r="A63" s="16">
        <v>62</v>
      </c>
      <c r="B63"/>
      <c r="C63"/>
      <c r="D63"/>
      <c r="E63" s="51" t="str">
        <f>IF(LEN(B63)&gt;0,COUNTIF(Projects!G:G,Markers!A63),"")</f>
        <v/>
      </c>
    </row>
    <row r="64" spans="1:5" x14ac:dyDescent="0.25">
      <c r="A64" s="16">
        <v>63</v>
      </c>
      <c r="B64"/>
      <c r="C64"/>
      <c r="D64"/>
      <c r="E64" s="51" t="str">
        <f>IF(LEN(B64)&gt;0,COUNTIF(Projects!G:G,Markers!A64),"")</f>
        <v/>
      </c>
    </row>
    <row r="65" spans="1:5" x14ac:dyDescent="0.25">
      <c r="A65" s="16">
        <v>64</v>
      </c>
      <c r="B65"/>
      <c r="C65"/>
      <c r="D65"/>
      <c r="E65" s="51" t="str">
        <f>IF(LEN(B65)&gt;0,COUNTIF(Projects!G:G,Markers!A65),"")</f>
        <v/>
      </c>
    </row>
    <row r="66" spans="1:5" x14ac:dyDescent="0.25">
      <c r="A66" s="16">
        <v>65</v>
      </c>
      <c r="B66"/>
      <c r="C66"/>
      <c r="D66"/>
      <c r="E66" s="51" t="str">
        <f>IF(LEN(B66)&gt;0,COUNTIF(Projects!G:G,Markers!A66),"")</f>
        <v/>
      </c>
    </row>
    <row r="67" spans="1:5" x14ac:dyDescent="0.25">
      <c r="A67" s="16">
        <v>66</v>
      </c>
      <c r="B67"/>
      <c r="C67"/>
      <c r="D67"/>
      <c r="E67" s="51" t="str">
        <f>IF(LEN(B67)&gt;0,COUNTIF(Projects!G:G,Markers!A67),"")</f>
        <v/>
      </c>
    </row>
    <row r="68" spans="1:5" x14ac:dyDescent="0.25">
      <c r="A68" s="16">
        <v>67</v>
      </c>
      <c r="B68"/>
      <c r="C68"/>
      <c r="D68"/>
      <c r="E68" s="51" t="str">
        <f>IF(LEN(B68)&gt;0,COUNTIF(Projects!G:G,Markers!A68),"")</f>
        <v/>
      </c>
    </row>
    <row r="69" spans="1:5" x14ac:dyDescent="0.25">
      <c r="A69" s="16">
        <v>68</v>
      </c>
      <c r="B69"/>
      <c r="C69"/>
      <c r="D69"/>
      <c r="E69" s="51" t="str">
        <f>IF(LEN(B69)&gt;0,COUNTIF(Projects!G:G,Markers!A69),"")</f>
        <v/>
      </c>
    </row>
    <row r="70" spans="1:5" x14ac:dyDescent="0.25">
      <c r="A70" s="16">
        <v>69</v>
      </c>
      <c r="B70"/>
      <c r="C70"/>
      <c r="D70"/>
      <c r="E70" s="51" t="str">
        <f>IF(LEN(B70)&gt;0,COUNTIF(Projects!G:G,Markers!A70),"")</f>
        <v/>
      </c>
    </row>
    <row r="71" spans="1:5" x14ac:dyDescent="0.25">
      <c r="A71" s="16">
        <v>70</v>
      </c>
      <c r="B71"/>
      <c r="C71"/>
      <c r="D71"/>
      <c r="E71" s="51" t="str">
        <f>IF(LEN(B71)&gt;0,COUNTIF(Projects!G:G,Markers!A71),"")</f>
        <v/>
      </c>
    </row>
    <row r="72" spans="1:5" x14ac:dyDescent="0.25">
      <c r="A72" s="16">
        <v>71</v>
      </c>
      <c r="B72"/>
      <c r="C72"/>
      <c r="D72"/>
      <c r="E72" s="51" t="str">
        <f>IF(LEN(B72)&gt;0,COUNTIF(Projects!G:G,Markers!A72),"")</f>
        <v/>
      </c>
    </row>
    <row r="73" spans="1:5" x14ac:dyDescent="0.25">
      <c r="A73" s="16">
        <v>72</v>
      </c>
      <c r="B73"/>
      <c r="C73"/>
      <c r="D73"/>
      <c r="E73" s="51" t="str">
        <f>IF(LEN(B73)&gt;0,COUNTIF(Projects!G:G,Markers!A73),"")</f>
        <v/>
      </c>
    </row>
    <row r="74" spans="1:5" x14ac:dyDescent="0.25">
      <c r="A74" s="16">
        <v>73</v>
      </c>
      <c r="B74"/>
      <c r="C74"/>
      <c r="D74"/>
      <c r="E74" s="51" t="str">
        <f>IF(LEN(B74)&gt;0,COUNTIF(Projects!G:G,Markers!A74),"")</f>
        <v/>
      </c>
    </row>
    <row r="75" spans="1:5" x14ac:dyDescent="0.25">
      <c r="A75" s="16">
        <v>74</v>
      </c>
      <c r="B75"/>
      <c r="C75"/>
      <c r="D75"/>
      <c r="E75" s="51" t="str">
        <f>IF(LEN(B75)&gt;0,COUNTIF(Projects!G:G,Markers!A75),"")</f>
        <v/>
      </c>
    </row>
    <row r="76" spans="1:5" x14ac:dyDescent="0.25">
      <c r="A76" s="16">
        <v>75</v>
      </c>
      <c r="B76"/>
      <c r="C76"/>
      <c r="D76"/>
      <c r="E76" s="51" t="str">
        <f>IF(LEN(B76)&gt;0,COUNTIF(Projects!G:G,Markers!A76),"")</f>
        <v/>
      </c>
    </row>
    <row r="77" spans="1:5" x14ac:dyDescent="0.25">
      <c r="A77" s="16">
        <v>76</v>
      </c>
      <c r="B77"/>
      <c r="C77"/>
      <c r="D77"/>
      <c r="E77" s="51" t="str">
        <f>IF(LEN(B77)&gt;0,COUNTIF(Projects!G:G,Markers!A77),"")</f>
        <v/>
      </c>
    </row>
    <row r="78" spans="1:5" x14ac:dyDescent="0.25">
      <c r="A78" s="16">
        <v>77</v>
      </c>
      <c r="B78"/>
      <c r="C78"/>
      <c r="D78"/>
      <c r="E78" s="51" t="str">
        <f>IF(LEN(B78)&gt;0,COUNTIF(Projects!G:G,Markers!A78),"")</f>
        <v/>
      </c>
    </row>
    <row r="79" spans="1:5" x14ac:dyDescent="0.25">
      <c r="A79" s="16">
        <v>78</v>
      </c>
      <c r="B79"/>
      <c r="C79"/>
      <c r="D79"/>
      <c r="E79" s="51" t="str">
        <f>IF(LEN(B79)&gt;0,COUNTIF(Projects!G:G,Markers!A79),"")</f>
        <v/>
      </c>
    </row>
    <row r="80" spans="1:5" x14ac:dyDescent="0.25">
      <c r="A80" s="16">
        <v>79</v>
      </c>
      <c r="B80"/>
      <c r="C80"/>
      <c r="D80"/>
      <c r="E80" s="51" t="str">
        <f>IF(LEN(B80)&gt;0,COUNTIF(Projects!G:G,Markers!A80),"")</f>
        <v/>
      </c>
    </row>
    <row r="81" spans="1:5" x14ac:dyDescent="0.25">
      <c r="A81" s="16">
        <v>80</v>
      </c>
      <c r="B81"/>
      <c r="C81"/>
      <c r="D81"/>
      <c r="E81" s="51"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CF0C1-423D-43BF-A206-623340BFC299}">
  <sheetPr codeName="Sheet6">
    <tabColor theme="9" tint="0.79998168889431442"/>
  </sheetPr>
  <dimension ref="A1:Z100"/>
  <sheetViews>
    <sheetView zoomScale="130" zoomScaleNormal="130" workbookViewId="0">
      <pane xSplit="2" ySplit="2" topLeftCell="C3" activePane="bottomRight" state="frozen"/>
      <selection activeCell="D23" sqref="D23"/>
      <selection pane="topRight" activeCell="D23" sqref="D23"/>
      <selection pane="bottomLeft" activeCell="D23" sqref="D23"/>
      <selection pane="bottomRight" activeCell="B3" sqref="B3"/>
    </sheetView>
  </sheetViews>
  <sheetFormatPr defaultRowHeight="15" x14ac:dyDescent="0.25"/>
  <cols>
    <col min="1" max="1" width="9.140625" style="4"/>
    <col min="2" max="2" width="17.42578125" customWidth="1"/>
    <col min="3" max="3" width="32.5703125" style="91" customWidth="1"/>
    <col min="4" max="4" width="11.85546875" style="4" customWidth="1"/>
    <col min="5" max="5" width="3" customWidth="1"/>
    <col min="6" max="9" width="11.85546875" customWidth="1"/>
    <col min="11" max="13" width="11.85546875" customWidth="1"/>
  </cols>
  <sheetData>
    <row r="1" spans="1:26" x14ac:dyDescent="0.25">
      <c r="B1" s="86" t="s">
        <v>205</v>
      </c>
      <c r="C1" s="87"/>
      <c r="D1" s="44"/>
      <c r="E1" s="44"/>
      <c r="F1" s="44"/>
      <c r="G1" s="44"/>
      <c r="H1" s="44"/>
      <c r="I1" s="44"/>
      <c r="J1" s="47"/>
    </row>
    <row r="2" spans="1:26" ht="30" x14ac:dyDescent="0.25">
      <c r="A2" s="88" t="s">
        <v>206</v>
      </c>
      <c r="B2" s="88" t="s">
        <v>207</v>
      </c>
      <c r="C2" s="88" t="s">
        <v>208</v>
      </c>
      <c r="D2" s="49" t="s">
        <v>209</v>
      </c>
      <c r="E2" s="4"/>
      <c r="F2" s="89" t="s">
        <v>210</v>
      </c>
      <c r="G2" s="90">
        <f>COUNTIF(D:D,"&lt;&gt;"&amp;"")-1</f>
        <v>11</v>
      </c>
      <c r="H2" s="89" t="s">
        <v>211</v>
      </c>
      <c r="I2" s="90">
        <f>SUM(D:D)</f>
        <v>11</v>
      </c>
      <c r="K2" s="4"/>
      <c r="L2" s="4"/>
      <c r="M2" s="4"/>
    </row>
    <row r="3" spans="1:26" x14ac:dyDescent="0.25">
      <c r="A3" s="51">
        <v>1</v>
      </c>
      <c r="C3" s="4" t="s">
        <v>212</v>
      </c>
      <c r="D3" s="4">
        <v>1</v>
      </c>
      <c r="E3" s="4"/>
    </row>
    <row r="4" spans="1:26" x14ac:dyDescent="0.25">
      <c r="A4" s="51">
        <v>2</v>
      </c>
      <c r="C4" s="4" t="s">
        <v>213</v>
      </c>
      <c r="D4" s="4">
        <v>1</v>
      </c>
      <c r="E4" s="4"/>
      <c r="F4" s="88" t="str">
        <f>A2</f>
        <v>Keyword #</v>
      </c>
      <c r="G4" s="51">
        <f>A3</f>
        <v>1</v>
      </c>
      <c r="H4" s="51">
        <f>A4</f>
        <v>2</v>
      </c>
      <c r="I4" s="51">
        <f>A5</f>
        <v>3</v>
      </c>
      <c r="J4" s="51">
        <f>A6</f>
        <v>4</v>
      </c>
      <c r="K4" s="51">
        <f>A7</f>
        <v>5</v>
      </c>
      <c r="L4" s="51">
        <f>A8</f>
        <v>6</v>
      </c>
      <c r="M4" s="51">
        <f>A9</f>
        <v>7</v>
      </c>
      <c r="N4" s="51">
        <f>A10</f>
        <v>8</v>
      </c>
      <c r="O4" s="51">
        <f>A11</f>
        <v>9</v>
      </c>
      <c r="P4" s="51">
        <f>A12</f>
        <v>10</v>
      </c>
      <c r="Q4" s="51">
        <f>A13</f>
        <v>11</v>
      </c>
      <c r="R4" s="42"/>
      <c r="S4" s="42"/>
      <c r="T4" s="42"/>
      <c r="U4" s="42"/>
      <c r="V4" s="42"/>
      <c r="W4" s="42"/>
      <c r="X4" s="42"/>
      <c r="Y4" s="42"/>
      <c r="Z4" s="42"/>
    </row>
    <row r="5" spans="1:26" x14ac:dyDescent="0.25">
      <c r="A5" s="51">
        <v>3</v>
      </c>
      <c r="C5" s="4" t="s">
        <v>214</v>
      </c>
      <c r="D5" s="4">
        <v>1</v>
      </c>
      <c r="E5" s="4"/>
      <c r="F5" s="88" t="str">
        <f>B2</f>
        <v>Broad areas</v>
      </c>
      <c r="G5" s="42">
        <f>B3</f>
        <v>0</v>
      </c>
      <c r="H5" s="42">
        <f>B4</f>
        <v>0</v>
      </c>
      <c r="I5" s="42">
        <f>B5</f>
        <v>0</v>
      </c>
      <c r="J5" s="42">
        <f>B6</f>
        <v>0</v>
      </c>
      <c r="K5" s="42">
        <f>B7</f>
        <v>0</v>
      </c>
      <c r="L5" s="42">
        <f>B8</f>
        <v>0</v>
      </c>
      <c r="M5" s="42">
        <f>B9</f>
        <v>0</v>
      </c>
      <c r="N5" s="42">
        <f>B10</f>
        <v>0</v>
      </c>
      <c r="O5" s="42">
        <f>B11</f>
        <v>0</v>
      </c>
      <c r="P5" s="42">
        <f>B12</f>
        <v>0</v>
      </c>
      <c r="Q5" s="42">
        <f>B13</f>
        <v>0</v>
      </c>
      <c r="R5" s="42"/>
      <c r="S5" s="42"/>
      <c r="T5" s="42"/>
      <c r="U5" s="42"/>
      <c r="V5" s="42"/>
      <c r="W5" s="42"/>
      <c r="X5" s="42"/>
      <c r="Y5" s="42"/>
      <c r="Z5" s="42"/>
    </row>
    <row r="6" spans="1:26" x14ac:dyDescent="0.25">
      <c r="A6" s="51">
        <v>4</v>
      </c>
      <c r="C6" s="4" t="s">
        <v>215</v>
      </c>
      <c r="D6" s="4">
        <v>1</v>
      </c>
      <c r="E6" s="4"/>
      <c r="F6" s="88" t="str">
        <f>C2</f>
        <v>Subtopics</v>
      </c>
      <c r="G6" s="52" t="str">
        <f>C3</f>
        <v>Keyword 1</v>
      </c>
      <c r="H6" s="52" t="str">
        <f>C4</f>
        <v>Keyword 2</v>
      </c>
      <c r="I6" s="52" t="str">
        <f>C5</f>
        <v>Keyword 3</v>
      </c>
      <c r="J6" s="52" t="str">
        <f>C6</f>
        <v>Keyword 4</v>
      </c>
      <c r="K6" s="52" t="str">
        <f>C7</f>
        <v>Keyword 5</v>
      </c>
      <c r="L6" s="52" t="str">
        <f>C8</f>
        <v>Keyword 6</v>
      </c>
      <c r="M6" s="52" t="str">
        <f>C9</f>
        <v>Keyword 7</v>
      </c>
      <c r="N6" s="52" t="str">
        <f>C10</f>
        <v>Keyword 8</v>
      </c>
      <c r="O6" s="52" t="str">
        <f>C11</f>
        <v>Keyword 9</v>
      </c>
      <c r="P6" s="52" t="str">
        <f>C12</f>
        <v>Keyword 10</v>
      </c>
      <c r="Q6" s="52" t="str">
        <f>C13</f>
        <v>Keyword 11</v>
      </c>
      <c r="R6" s="52"/>
      <c r="S6" s="52"/>
      <c r="T6" s="52"/>
      <c r="U6" s="52"/>
      <c r="V6" s="52"/>
      <c r="W6" s="52"/>
      <c r="X6" s="52"/>
      <c r="Y6" s="52"/>
      <c r="Z6" s="52"/>
    </row>
    <row r="7" spans="1:26" ht="30" x14ac:dyDescent="0.25">
      <c r="A7" s="51">
        <v>5</v>
      </c>
      <c r="C7" s="4" t="s">
        <v>216</v>
      </c>
      <c r="D7" s="4">
        <v>1</v>
      </c>
      <c r="E7" s="4"/>
      <c r="F7" s="49" t="str">
        <f>D2</f>
        <v>Subtopic Weight</v>
      </c>
      <c r="G7" s="52">
        <f>D3</f>
        <v>1</v>
      </c>
      <c r="H7" s="52">
        <f>D4</f>
        <v>1</v>
      </c>
      <c r="I7" s="52">
        <f>D5</f>
        <v>1</v>
      </c>
      <c r="J7" s="52">
        <f>D6</f>
        <v>1</v>
      </c>
      <c r="K7" s="52">
        <f>D7</f>
        <v>1</v>
      </c>
      <c r="L7" s="52">
        <f>D8</f>
        <v>1</v>
      </c>
      <c r="M7" s="52">
        <f>D9</f>
        <v>1</v>
      </c>
      <c r="N7" s="52">
        <f>D10</f>
        <v>1</v>
      </c>
      <c r="O7" s="52">
        <f>D11</f>
        <v>1</v>
      </c>
      <c r="P7" s="52">
        <f>D12</f>
        <v>1</v>
      </c>
      <c r="Q7" s="52">
        <f>D13</f>
        <v>1</v>
      </c>
      <c r="R7" s="52"/>
      <c r="S7" s="52"/>
      <c r="T7" s="52"/>
      <c r="U7" s="52"/>
      <c r="V7" s="52"/>
      <c r="W7" s="52"/>
      <c r="X7" s="52"/>
      <c r="Y7" s="52"/>
      <c r="Z7" s="52"/>
    </row>
    <row r="8" spans="1:26" x14ac:dyDescent="0.25">
      <c r="A8" s="51">
        <v>6</v>
      </c>
      <c r="C8" s="4" t="s">
        <v>217</v>
      </c>
      <c r="D8" s="4">
        <v>1</v>
      </c>
      <c r="E8" s="4"/>
      <c r="F8" s="392" t="s">
        <v>53</v>
      </c>
      <c r="G8" s="392"/>
      <c r="H8" s="392"/>
      <c r="I8" s="392"/>
      <c r="K8" s="4"/>
      <c r="L8" s="4"/>
      <c r="M8" s="4"/>
    </row>
    <row r="9" spans="1:26" ht="15" customHeight="1" x14ac:dyDescent="0.25">
      <c r="A9" s="51">
        <v>7</v>
      </c>
      <c r="C9" s="4" t="s">
        <v>218</v>
      </c>
      <c r="D9" s="4">
        <v>1</v>
      </c>
      <c r="E9" s="4"/>
      <c r="F9" s="392"/>
      <c r="G9" s="392"/>
      <c r="H9" s="392"/>
      <c r="I9" s="392"/>
      <c r="K9" s="4"/>
      <c r="L9" s="4"/>
      <c r="M9" s="4"/>
    </row>
    <row r="10" spans="1:26" x14ac:dyDescent="0.25">
      <c r="A10" s="51">
        <v>8</v>
      </c>
      <c r="C10" s="4" t="s">
        <v>219</v>
      </c>
      <c r="D10" s="4">
        <v>1</v>
      </c>
      <c r="E10" s="4"/>
      <c r="F10" s="4"/>
      <c r="G10" s="4"/>
      <c r="H10" s="4"/>
      <c r="I10" s="4"/>
      <c r="K10" s="4"/>
      <c r="L10" s="4"/>
      <c r="M10" s="4"/>
    </row>
    <row r="11" spans="1:26" x14ac:dyDescent="0.25">
      <c r="A11" s="51">
        <v>9</v>
      </c>
      <c r="C11" s="4" t="s">
        <v>220</v>
      </c>
      <c r="D11" s="4">
        <v>1</v>
      </c>
    </row>
    <row r="12" spans="1:26" x14ac:dyDescent="0.25">
      <c r="A12" s="51">
        <v>10</v>
      </c>
      <c r="C12" s="4" t="s">
        <v>221</v>
      </c>
      <c r="D12" s="4">
        <v>1</v>
      </c>
    </row>
    <row r="13" spans="1:26" x14ac:dyDescent="0.25">
      <c r="A13" s="51">
        <v>11</v>
      </c>
      <c r="C13" s="4" t="s">
        <v>222</v>
      </c>
      <c r="D13" s="4">
        <v>1</v>
      </c>
    </row>
    <row r="14" spans="1:26" x14ac:dyDescent="0.25">
      <c r="A14" s="51">
        <v>12</v>
      </c>
      <c r="C14"/>
      <c r="D14"/>
    </row>
    <row r="15" spans="1:26" x14ac:dyDescent="0.25">
      <c r="A15" s="51">
        <v>13</v>
      </c>
      <c r="C15"/>
      <c r="D15"/>
    </row>
    <row r="16" spans="1:26" x14ac:dyDescent="0.25">
      <c r="A16" s="51">
        <v>14</v>
      </c>
      <c r="C16"/>
      <c r="D16"/>
    </row>
    <row r="17" spans="1:4" x14ac:dyDescent="0.25">
      <c r="A17" s="51">
        <v>15</v>
      </c>
      <c r="C17"/>
      <c r="D17"/>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A3695-6F84-4AF5-A9E0-0A756D6BAAEB}">
  <sheetPr codeName="Sheet37">
    <tabColor theme="9" tint="0.79998168889431442"/>
  </sheetPr>
  <dimension ref="A1:AB29"/>
  <sheetViews>
    <sheetView zoomScale="145" zoomScaleNormal="145" workbookViewId="0">
      <pane ySplit="2" topLeftCell="A3" activePane="bottomLeft" state="frozen"/>
      <selection activeCell="D23" sqref="D23"/>
      <selection pane="bottomLeft" activeCell="C4" sqref="C4:M26"/>
    </sheetView>
  </sheetViews>
  <sheetFormatPr defaultRowHeight="15" x14ac:dyDescent="0.25"/>
  <cols>
    <col min="1" max="1" width="5.5703125" style="103" customWidth="1"/>
    <col min="2" max="2" width="50.7109375" customWidth="1"/>
    <col min="3" max="3" width="4.28515625" style="47" customWidth="1"/>
    <col min="4" max="13" width="4.28515625" customWidth="1"/>
    <col min="14" max="14" width="24.42578125" bestFit="1" customWidth="1"/>
    <col min="15" max="15" width="1.7109375" customWidth="1"/>
    <col min="16" max="16" width="5.140625" customWidth="1"/>
    <col min="17" max="27" width="4.28515625" customWidth="1"/>
    <col min="28" max="44" width="5.140625" customWidth="1"/>
  </cols>
  <sheetData>
    <row r="1" spans="1:28" x14ac:dyDescent="0.25">
      <c r="A1" s="71" t="s">
        <v>223</v>
      </c>
      <c r="B1" s="92"/>
      <c r="C1" s="92"/>
      <c r="D1" s="92"/>
      <c r="E1" s="92"/>
      <c r="F1" s="92"/>
      <c r="G1" s="92"/>
      <c r="H1" s="92"/>
      <c r="I1" s="92"/>
      <c r="J1" s="92"/>
      <c r="K1" s="92"/>
      <c r="L1" s="92"/>
      <c r="M1" s="92"/>
      <c r="N1" s="92"/>
      <c r="P1" s="4" t="s">
        <v>224</v>
      </c>
      <c r="Q1" s="4">
        <f>Keywords!G7</f>
        <v>1</v>
      </c>
      <c r="R1" s="4">
        <f>Keywords!H7</f>
        <v>1</v>
      </c>
      <c r="S1" s="4">
        <f>Keywords!I7</f>
        <v>1</v>
      </c>
      <c r="T1" s="4">
        <f>Keywords!J7</f>
        <v>1</v>
      </c>
      <c r="U1" s="4">
        <f>Keywords!K7</f>
        <v>1</v>
      </c>
      <c r="V1" s="4">
        <f>Keywords!L7</f>
        <v>1</v>
      </c>
      <c r="W1" s="4">
        <f>Keywords!M7</f>
        <v>1</v>
      </c>
      <c r="X1" s="4">
        <f>Keywords!N7</f>
        <v>1</v>
      </c>
      <c r="Y1" s="4">
        <f>Keywords!O7</f>
        <v>1</v>
      </c>
      <c r="Z1" s="4">
        <f>Keywords!P7</f>
        <v>1</v>
      </c>
      <c r="AA1" s="4">
        <f>Keywords!Q7</f>
        <v>1</v>
      </c>
    </row>
    <row r="2" spans="1:28" s="4" customFormat="1" ht="59.25" x14ac:dyDescent="0.25">
      <c r="A2" s="93" t="s">
        <v>69</v>
      </c>
      <c r="B2" s="16" t="s">
        <v>73</v>
      </c>
      <c r="C2" s="94" t="str">
        <f>Keywords!G6</f>
        <v>Keyword 1</v>
      </c>
      <c r="D2" s="94" t="str">
        <f>Keywords!H6</f>
        <v>Keyword 2</v>
      </c>
      <c r="E2" s="94" t="str">
        <f>Keywords!I6</f>
        <v>Keyword 3</v>
      </c>
      <c r="F2" s="94" t="str">
        <f>Keywords!J6</f>
        <v>Keyword 4</v>
      </c>
      <c r="G2" s="94" t="str">
        <f>Keywords!K6</f>
        <v>Keyword 5</v>
      </c>
      <c r="H2" s="94" t="str">
        <f>Keywords!L6</f>
        <v>Keyword 6</v>
      </c>
      <c r="I2" s="94" t="str">
        <f>Keywords!M6</f>
        <v>Keyword 7</v>
      </c>
      <c r="J2" s="94" t="str">
        <f>Keywords!N6</f>
        <v>Keyword 8</v>
      </c>
      <c r="K2" s="94" t="str">
        <f>Keywords!O6</f>
        <v>Keyword 9</v>
      </c>
      <c r="L2" s="94" t="str">
        <f>Keywords!P6</f>
        <v>Keyword 10</v>
      </c>
      <c r="M2" s="94" t="str">
        <f>Keywords!Q6</f>
        <v>Keyword 11</v>
      </c>
      <c r="N2" s="49" t="s">
        <v>225</v>
      </c>
      <c r="O2" s="95"/>
      <c r="P2" s="93" t="str">
        <f>A2</f>
        <v>Project #</v>
      </c>
      <c r="Q2" s="96" t="str">
        <f>C2</f>
        <v>Keyword 1</v>
      </c>
      <c r="R2" s="96" t="str">
        <f t="shared" ref="R2:AA2" si="0">D2</f>
        <v>Keyword 2</v>
      </c>
      <c r="S2" s="96" t="str">
        <f t="shared" si="0"/>
        <v>Keyword 3</v>
      </c>
      <c r="T2" s="96" t="str">
        <f t="shared" si="0"/>
        <v>Keyword 4</v>
      </c>
      <c r="U2" s="96" t="str">
        <f t="shared" si="0"/>
        <v>Keyword 5</v>
      </c>
      <c r="V2" s="96" t="str">
        <f t="shared" si="0"/>
        <v>Keyword 6</v>
      </c>
      <c r="W2" s="96" t="str">
        <f t="shared" si="0"/>
        <v>Keyword 7</v>
      </c>
      <c r="X2" s="96" t="str">
        <f t="shared" si="0"/>
        <v>Keyword 8</v>
      </c>
      <c r="Y2" s="96" t="str">
        <f t="shared" si="0"/>
        <v>Keyword 9</v>
      </c>
      <c r="Z2" s="96" t="str">
        <f t="shared" si="0"/>
        <v>Keyword 10</v>
      </c>
      <c r="AA2" s="96" t="str">
        <f t="shared" si="0"/>
        <v>Keyword 11</v>
      </c>
      <c r="AB2" s="96" t="s">
        <v>226</v>
      </c>
    </row>
    <row r="3" spans="1:28" s="103" customFormat="1" x14ac:dyDescent="0.25">
      <c r="A3" s="97"/>
      <c r="B3" s="98"/>
      <c r="C3" s="99"/>
      <c r="D3" s="99"/>
      <c r="E3" s="99"/>
      <c r="F3" s="99"/>
      <c r="G3" s="99"/>
      <c r="H3" s="99"/>
      <c r="I3" s="99"/>
      <c r="J3" s="99"/>
      <c r="K3" s="99"/>
      <c r="L3" s="99"/>
      <c r="M3" s="99"/>
      <c r="N3" s="100"/>
      <c r="O3" s="101"/>
      <c r="P3" s="100"/>
      <c r="Q3" s="102">
        <f t="shared" ref="Q3:AA3" si="1">AVERAGE(Q4:Q28)</f>
        <v>0.40740740740740744</v>
      </c>
      <c r="R3" s="102">
        <f t="shared" si="1"/>
        <v>0.40476190476190471</v>
      </c>
      <c r="S3" s="102">
        <f t="shared" si="1"/>
        <v>0.41666666666666669</v>
      </c>
      <c r="T3" s="102">
        <f t="shared" si="1"/>
        <v>0.47916666666666663</v>
      </c>
      <c r="U3" s="102">
        <f t="shared" si="1"/>
        <v>0.44444444444444442</v>
      </c>
      <c r="V3" s="102">
        <f t="shared" si="1"/>
        <v>0.47222222222222215</v>
      </c>
      <c r="W3" s="102">
        <f t="shared" si="1"/>
        <v>0.4</v>
      </c>
      <c r="X3" s="102">
        <f t="shared" si="1"/>
        <v>0.55555555555555558</v>
      </c>
      <c r="Y3" s="102">
        <f t="shared" si="1"/>
        <v>0.43749999999999994</v>
      </c>
      <c r="Z3" s="102">
        <f t="shared" si="1"/>
        <v>0.52777777777777779</v>
      </c>
      <c r="AA3" s="102">
        <f t="shared" si="1"/>
        <v>0.48717948717948717</v>
      </c>
      <c r="AB3" s="100"/>
    </row>
    <row r="4" spans="1:28" x14ac:dyDescent="0.25">
      <c r="A4" s="61">
        <v>1</v>
      </c>
      <c r="B4" s="104" t="str">
        <f>Projects!B3</f>
        <v>Project 1</v>
      </c>
      <c r="C4" s="11" t="s">
        <v>254</v>
      </c>
      <c r="D4" s="11"/>
      <c r="E4" s="11" t="s">
        <v>253</v>
      </c>
      <c r="F4" s="11"/>
      <c r="G4" s="11" t="s">
        <v>253</v>
      </c>
      <c r="H4" s="11" t="s">
        <v>253</v>
      </c>
      <c r="I4" s="11"/>
      <c r="J4" s="11" t="s">
        <v>255</v>
      </c>
      <c r="K4" s="11" t="s">
        <v>253</v>
      </c>
      <c r="L4" s="11"/>
      <c r="M4" s="11" t="s">
        <v>253</v>
      </c>
      <c r="N4" s="105"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06"/>
      <c r="P4" s="107">
        <f>A4</f>
        <v>1</v>
      </c>
      <c r="Q4" s="108">
        <f>IF(C4="L",1/3,IF(C4="M",2/3,IF(LEN(C4)&gt;0,1,"")))</f>
        <v>0.66666666666666663</v>
      </c>
      <c r="R4" s="108" t="str">
        <f t="shared" ref="R4:AA4" si="2">IF(D4="L",1/3,IF(D4="M",2/3,IF(LEN(D4)&gt;0,1,"")))</f>
        <v/>
      </c>
      <c r="S4" s="108">
        <f t="shared" si="2"/>
        <v>0.33333333333333331</v>
      </c>
      <c r="T4" s="108" t="str">
        <f t="shared" si="2"/>
        <v/>
      </c>
      <c r="U4" s="108">
        <f t="shared" si="2"/>
        <v>0.33333333333333331</v>
      </c>
      <c r="V4" s="108">
        <f t="shared" si="2"/>
        <v>0.33333333333333331</v>
      </c>
      <c r="W4" s="108" t="str">
        <f t="shared" si="2"/>
        <v/>
      </c>
      <c r="X4" s="108">
        <f t="shared" si="2"/>
        <v>1</v>
      </c>
      <c r="Y4" s="108">
        <f t="shared" si="2"/>
        <v>0.33333333333333331</v>
      </c>
      <c r="Z4" s="108" t="str">
        <f t="shared" si="2"/>
        <v/>
      </c>
      <c r="AA4" s="108">
        <f t="shared" si="2"/>
        <v>0.33333333333333331</v>
      </c>
      <c r="AB4" s="109">
        <f>IF(SUM(Q4:AA4)&gt;0,SUM(Q4:AA4),"")</f>
        <v>3.3333333333333335</v>
      </c>
    </row>
    <row r="5" spans="1:28" x14ac:dyDescent="0.25">
      <c r="A5" s="61">
        <v>2</v>
      </c>
      <c r="B5" s="104" t="str">
        <f>Projects!B4</f>
        <v>Project 2</v>
      </c>
      <c r="C5" s="11" t="s">
        <v>253</v>
      </c>
      <c r="D5" s="11"/>
      <c r="E5" s="11"/>
      <c r="F5" s="11" t="s">
        <v>253</v>
      </c>
      <c r="G5" s="11"/>
      <c r="H5" s="11"/>
      <c r="I5" s="11"/>
      <c r="J5" s="11" t="s">
        <v>254</v>
      </c>
      <c r="K5" s="11" t="s">
        <v>254</v>
      </c>
      <c r="L5" s="11" t="s">
        <v>254</v>
      </c>
      <c r="M5" s="11" t="s">
        <v>253</v>
      </c>
      <c r="N5" s="105" t="str">
        <f t="shared" ref="N5:N28" si="3">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06"/>
      <c r="P5" s="107">
        <f t="shared" ref="P5:P28" si="4">A5</f>
        <v>2</v>
      </c>
      <c r="Q5" s="108">
        <f t="shared" ref="Q5:Q28" si="5">IF(C5="L",1/3,IF(C5="M",2/3,IF(LEN(C5)&gt;0,1,"")))</f>
        <v>0.33333333333333331</v>
      </c>
      <c r="R5" s="108" t="str">
        <f t="shared" ref="R5:R28" si="6">IF(D5="L",1/3,IF(D5="M",2/3,IF(LEN(D5)&gt;0,1,"")))</f>
        <v/>
      </c>
      <c r="S5" s="108" t="str">
        <f t="shared" ref="S5:S28" si="7">IF(E5="L",1/3,IF(E5="M",2/3,IF(LEN(E5)&gt;0,1,"")))</f>
        <v/>
      </c>
      <c r="T5" s="108">
        <f t="shared" ref="T5:T28" si="8">IF(F5="L",1/3,IF(F5="M",2/3,IF(LEN(F5)&gt;0,1,"")))</f>
        <v>0.33333333333333331</v>
      </c>
      <c r="U5" s="108" t="str">
        <f t="shared" ref="U5:U28" si="9">IF(G5="L",1/3,IF(G5="M",2/3,IF(LEN(G5)&gt;0,1,"")))</f>
        <v/>
      </c>
      <c r="V5" s="108" t="str">
        <f t="shared" ref="V5:V28" si="10">IF(H5="L",1/3,IF(H5="M",2/3,IF(LEN(H5)&gt;0,1,"")))</f>
        <v/>
      </c>
      <c r="W5" s="108" t="str">
        <f t="shared" ref="W5:W28" si="11">IF(I5="L",1/3,IF(I5="M",2/3,IF(LEN(I5)&gt;0,1,"")))</f>
        <v/>
      </c>
      <c r="X5" s="108">
        <f t="shared" ref="X5:X28" si="12">IF(J5="L",1/3,IF(J5="M",2/3,IF(LEN(J5)&gt;0,1,"")))</f>
        <v>0.66666666666666663</v>
      </c>
      <c r="Y5" s="108">
        <f t="shared" ref="Y5:Y28" si="13">IF(K5="L",1/3,IF(K5="M",2/3,IF(LEN(K5)&gt;0,1,"")))</f>
        <v>0.66666666666666663</v>
      </c>
      <c r="Z5" s="108">
        <f t="shared" ref="Z5:Z28" si="14">IF(L5="L",1/3,IF(L5="M",2/3,IF(LEN(L5)&gt;0,1,"")))</f>
        <v>0.66666666666666663</v>
      </c>
      <c r="AA5" s="108">
        <f t="shared" ref="AA5:AA28" si="15">IF(M5="L",1/3,IF(M5="M",2/3,IF(LEN(M5)&gt;0,1,"")))</f>
        <v>0.33333333333333331</v>
      </c>
      <c r="AB5" s="109">
        <f t="shared" ref="AB5:AB28" si="16">IF(SUM(Q5:AA5)&gt;0,SUM(Q5:AA5),"")</f>
        <v>3</v>
      </c>
    </row>
    <row r="6" spans="1:28" x14ac:dyDescent="0.25">
      <c r="A6" s="61">
        <v>3</v>
      </c>
      <c r="B6" s="104" t="str">
        <f>Projects!B5</f>
        <v>Project 3</v>
      </c>
      <c r="C6" s="11"/>
      <c r="D6" s="11"/>
      <c r="E6" s="11" t="s">
        <v>253</v>
      </c>
      <c r="F6" s="11" t="s">
        <v>253</v>
      </c>
      <c r="G6" s="11" t="s">
        <v>253</v>
      </c>
      <c r="H6" s="11" t="s">
        <v>254</v>
      </c>
      <c r="I6" s="11" t="s">
        <v>253</v>
      </c>
      <c r="J6" s="11"/>
      <c r="K6" s="11"/>
      <c r="L6" s="11" t="s">
        <v>253</v>
      </c>
      <c r="M6" s="11"/>
      <c r="N6" s="105" t="str">
        <f t="shared" si="3"/>
        <v>Enter L, M or H in each cell</v>
      </c>
      <c r="O6" s="106"/>
      <c r="P6" s="107">
        <f t="shared" si="4"/>
        <v>3</v>
      </c>
      <c r="Q6" s="108" t="str">
        <f t="shared" si="5"/>
        <v/>
      </c>
      <c r="R6" s="108" t="str">
        <f t="shared" si="6"/>
        <v/>
      </c>
      <c r="S6" s="108">
        <f t="shared" si="7"/>
        <v>0.33333333333333331</v>
      </c>
      <c r="T6" s="108">
        <f t="shared" si="8"/>
        <v>0.33333333333333331</v>
      </c>
      <c r="U6" s="108">
        <f t="shared" si="9"/>
        <v>0.33333333333333331</v>
      </c>
      <c r="V6" s="108">
        <f t="shared" si="10"/>
        <v>0.66666666666666663</v>
      </c>
      <c r="W6" s="108">
        <f t="shared" si="11"/>
        <v>0.33333333333333331</v>
      </c>
      <c r="X6" s="108" t="str">
        <f t="shared" si="12"/>
        <v/>
      </c>
      <c r="Y6" s="108" t="str">
        <f t="shared" si="13"/>
        <v/>
      </c>
      <c r="Z6" s="108">
        <f t="shared" si="14"/>
        <v>0.33333333333333331</v>
      </c>
      <c r="AA6" s="108" t="str">
        <f t="shared" si="15"/>
        <v/>
      </c>
      <c r="AB6" s="109">
        <f t="shared" si="16"/>
        <v>2.333333333333333</v>
      </c>
    </row>
    <row r="7" spans="1:28" x14ac:dyDescent="0.25">
      <c r="A7" s="61">
        <v>4</v>
      </c>
      <c r="B7" s="104" t="str">
        <f>Projects!B6</f>
        <v>Project 4</v>
      </c>
      <c r="C7" s="11" t="s">
        <v>253</v>
      </c>
      <c r="D7" s="11" t="s">
        <v>254</v>
      </c>
      <c r="E7" s="11" t="s">
        <v>253</v>
      </c>
      <c r="F7" s="11" t="s">
        <v>253</v>
      </c>
      <c r="G7" s="11" t="s">
        <v>253</v>
      </c>
      <c r="H7" s="11"/>
      <c r="I7" s="11" t="s">
        <v>253</v>
      </c>
      <c r="J7" s="11"/>
      <c r="K7" s="11"/>
      <c r="L7" s="11"/>
      <c r="M7" s="11"/>
      <c r="N7" s="105" t="str">
        <f t="shared" si="3"/>
        <v>Enter L, M or H in each cell</v>
      </c>
      <c r="O7" s="106"/>
      <c r="P7" s="107">
        <f t="shared" si="4"/>
        <v>4</v>
      </c>
      <c r="Q7" s="108">
        <f t="shared" si="5"/>
        <v>0.33333333333333331</v>
      </c>
      <c r="R7" s="108">
        <f t="shared" si="6"/>
        <v>0.66666666666666663</v>
      </c>
      <c r="S7" s="108">
        <f t="shared" si="7"/>
        <v>0.33333333333333331</v>
      </c>
      <c r="T7" s="108">
        <f t="shared" si="8"/>
        <v>0.33333333333333331</v>
      </c>
      <c r="U7" s="108">
        <f t="shared" si="9"/>
        <v>0.33333333333333331</v>
      </c>
      <c r="V7" s="108" t="str">
        <f t="shared" si="10"/>
        <v/>
      </c>
      <c r="W7" s="108">
        <f t="shared" si="11"/>
        <v>0.33333333333333331</v>
      </c>
      <c r="X7" s="108" t="str">
        <f t="shared" si="12"/>
        <v/>
      </c>
      <c r="Y7" s="108" t="str">
        <f t="shared" si="13"/>
        <v/>
      </c>
      <c r="Z7" s="108" t="str">
        <f t="shared" si="14"/>
        <v/>
      </c>
      <c r="AA7" s="108" t="str">
        <f t="shared" si="15"/>
        <v/>
      </c>
      <c r="AB7" s="109">
        <f t="shared" si="16"/>
        <v>2.333333333333333</v>
      </c>
    </row>
    <row r="8" spans="1:28" x14ac:dyDescent="0.25">
      <c r="A8" s="61">
        <v>5</v>
      </c>
      <c r="B8" s="104" t="str">
        <f>Projects!B7</f>
        <v>Project 5</v>
      </c>
      <c r="C8" s="11" t="s">
        <v>253</v>
      </c>
      <c r="D8" s="11" t="s">
        <v>253</v>
      </c>
      <c r="E8" s="11"/>
      <c r="F8" s="11"/>
      <c r="G8" s="11" t="s">
        <v>253</v>
      </c>
      <c r="H8" s="11" t="s">
        <v>254</v>
      </c>
      <c r="I8" s="11" t="s">
        <v>253</v>
      </c>
      <c r="J8" s="11" t="s">
        <v>253</v>
      </c>
      <c r="K8" s="11" t="s">
        <v>253</v>
      </c>
      <c r="L8" s="11"/>
      <c r="M8" s="11"/>
      <c r="N8" s="105" t="str">
        <f t="shared" si="3"/>
        <v>Enter L, M or H in each cell</v>
      </c>
      <c r="O8" s="106"/>
      <c r="P8" s="107">
        <f t="shared" si="4"/>
        <v>5</v>
      </c>
      <c r="Q8" s="108">
        <f t="shared" si="5"/>
        <v>0.33333333333333331</v>
      </c>
      <c r="R8" s="108">
        <f t="shared" si="6"/>
        <v>0.33333333333333331</v>
      </c>
      <c r="S8" s="108" t="str">
        <f t="shared" si="7"/>
        <v/>
      </c>
      <c r="T8" s="108" t="str">
        <f t="shared" si="8"/>
        <v/>
      </c>
      <c r="U8" s="108">
        <f t="shared" si="9"/>
        <v>0.33333333333333331</v>
      </c>
      <c r="V8" s="108">
        <f t="shared" si="10"/>
        <v>0.66666666666666663</v>
      </c>
      <c r="W8" s="108">
        <f t="shared" si="11"/>
        <v>0.33333333333333331</v>
      </c>
      <c r="X8" s="108">
        <f t="shared" si="12"/>
        <v>0.33333333333333331</v>
      </c>
      <c r="Y8" s="108">
        <f t="shared" si="13"/>
        <v>0.33333333333333331</v>
      </c>
      <c r="Z8" s="108" t="str">
        <f t="shared" si="14"/>
        <v/>
      </c>
      <c r="AA8" s="108" t="str">
        <f t="shared" si="15"/>
        <v/>
      </c>
      <c r="AB8" s="109">
        <f t="shared" si="16"/>
        <v>2.6666666666666665</v>
      </c>
    </row>
    <row r="9" spans="1:28" x14ac:dyDescent="0.25">
      <c r="A9" s="61">
        <v>6</v>
      </c>
      <c r="B9" s="104" t="str">
        <f>Projects!B8</f>
        <v>Project 6</v>
      </c>
      <c r="C9" s="11"/>
      <c r="D9" s="11" t="s">
        <v>253</v>
      </c>
      <c r="E9" s="11" t="s">
        <v>254</v>
      </c>
      <c r="F9" s="11" t="s">
        <v>253</v>
      </c>
      <c r="G9" s="11" t="s">
        <v>253</v>
      </c>
      <c r="H9" s="11"/>
      <c r="I9" s="11" t="s">
        <v>253</v>
      </c>
      <c r="J9" s="11"/>
      <c r="K9" s="11"/>
      <c r="L9" s="11"/>
      <c r="M9" s="11" t="s">
        <v>254</v>
      </c>
      <c r="N9" s="105" t="str">
        <f t="shared" si="3"/>
        <v>Enter L, M or H in each cell</v>
      </c>
      <c r="O9" s="106"/>
      <c r="P9" s="107">
        <f t="shared" si="4"/>
        <v>6</v>
      </c>
      <c r="Q9" s="108" t="str">
        <f t="shared" si="5"/>
        <v/>
      </c>
      <c r="R9" s="108">
        <f t="shared" si="6"/>
        <v>0.33333333333333331</v>
      </c>
      <c r="S9" s="108">
        <f t="shared" si="7"/>
        <v>0.66666666666666663</v>
      </c>
      <c r="T9" s="108">
        <f t="shared" si="8"/>
        <v>0.33333333333333331</v>
      </c>
      <c r="U9" s="108">
        <f t="shared" si="9"/>
        <v>0.33333333333333331</v>
      </c>
      <c r="V9" s="108" t="str">
        <f t="shared" si="10"/>
        <v/>
      </c>
      <c r="W9" s="108">
        <f t="shared" si="11"/>
        <v>0.33333333333333331</v>
      </c>
      <c r="X9" s="108" t="str">
        <f t="shared" si="12"/>
        <v/>
      </c>
      <c r="Y9" s="108" t="str">
        <f t="shared" si="13"/>
        <v/>
      </c>
      <c r="Z9" s="108" t="str">
        <f t="shared" si="14"/>
        <v/>
      </c>
      <c r="AA9" s="108">
        <f t="shared" si="15"/>
        <v>0.66666666666666663</v>
      </c>
      <c r="AB9" s="109">
        <f t="shared" si="16"/>
        <v>2.6666666666666665</v>
      </c>
    </row>
    <row r="10" spans="1:28" x14ac:dyDescent="0.25">
      <c r="A10" s="61">
        <v>7</v>
      </c>
      <c r="B10" s="104" t="str">
        <f>Projects!B9</f>
        <v>Project 7</v>
      </c>
      <c r="C10" s="11"/>
      <c r="D10" s="11" t="s">
        <v>253</v>
      </c>
      <c r="E10" s="11"/>
      <c r="F10" s="11" t="s">
        <v>254</v>
      </c>
      <c r="G10" s="11"/>
      <c r="H10" s="11"/>
      <c r="I10" s="11"/>
      <c r="J10" s="11"/>
      <c r="K10" s="11" t="s">
        <v>253</v>
      </c>
      <c r="L10" s="11"/>
      <c r="M10" s="11"/>
      <c r="N10" s="105" t="str">
        <f t="shared" si="3"/>
        <v>Enter L, M or H in each cell</v>
      </c>
      <c r="O10" s="106"/>
      <c r="P10" s="107">
        <f t="shared" si="4"/>
        <v>7</v>
      </c>
      <c r="Q10" s="108" t="str">
        <f t="shared" si="5"/>
        <v/>
      </c>
      <c r="R10" s="108">
        <f t="shared" si="6"/>
        <v>0.33333333333333331</v>
      </c>
      <c r="S10" s="108" t="str">
        <f t="shared" si="7"/>
        <v/>
      </c>
      <c r="T10" s="108">
        <f t="shared" si="8"/>
        <v>0.66666666666666663</v>
      </c>
      <c r="U10" s="108" t="str">
        <f t="shared" si="9"/>
        <v/>
      </c>
      <c r="V10" s="108" t="str">
        <f t="shared" si="10"/>
        <v/>
      </c>
      <c r="W10" s="108" t="str">
        <f t="shared" si="11"/>
        <v/>
      </c>
      <c r="X10" s="108" t="str">
        <f t="shared" si="12"/>
        <v/>
      </c>
      <c r="Y10" s="108">
        <f t="shared" si="13"/>
        <v>0.33333333333333331</v>
      </c>
      <c r="Z10" s="108" t="str">
        <f t="shared" si="14"/>
        <v/>
      </c>
      <c r="AA10" s="108" t="str">
        <f t="shared" si="15"/>
        <v/>
      </c>
      <c r="AB10" s="109">
        <f t="shared" si="16"/>
        <v>1.3333333333333333</v>
      </c>
    </row>
    <row r="11" spans="1:28" x14ac:dyDescent="0.25">
      <c r="A11" s="61">
        <v>8</v>
      </c>
      <c r="B11" s="104" t="str">
        <f>Projects!B10</f>
        <v>Project 8</v>
      </c>
      <c r="C11" s="11"/>
      <c r="D11" s="11" t="s">
        <v>253</v>
      </c>
      <c r="E11" s="11"/>
      <c r="F11" s="11" t="s">
        <v>253</v>
      </c>
      <c r="G11" s="11" t="s">
        <v>253</v>
      </c>
      <c r="H11" s="11" t="s">
        <v>254</v>
      </c>
      <c r="I11" s="11" t="s">
        <v>254</v>
      </c>
      <c r="J11" s="11"/>
      <c r="K11" s="11"/>
      <c r="L11" s="11" t="s">
        <v>255</v>
      </c>
      <c r="M11" s="11" t="s">
        <v>254</v>
      </c>
      <c r="N11" s="105" t="str">
        <f t="shared" si="3"/>
        <v>Enter L, M or H in each cell</v>
      </c>
      <c r="O11" s="106"/>
      <c r="P11" s="107">
        <f t="shared" si="4"/>
        <v>8</v>
      </c>
      <c r="Q11" s="108" t="str">
        <f t="shared" si="5"/>
        <v/>
      </c>
      <c r="R11" s="108">
        <f t="shared" si="6"/>
        <v>0.33333333333333331</v>
      </c>
      <c r="S11" s="108" t="str">
        <f t="shared" si="7"/>
        <v/>
      </c>
      <c r="T11" s="108">
        <f t="shared" si="8"/>
        <v>0.33333333333333331</v>
      </c>
      <c r="U11" s="108">
        <f t="shared" si="9"/>
        <v>0.33333333333333331</v>
      </c>
      <c r="V11" s="108">
        <f t="shared" si="10"/>
        <v>0.66666666666666663</v>
      </c>
      <c r="W11" s="108">
        <f t="shared" si="11"/>
        <v>0.66666666666666663</v>
      </c>
      <c r="X11" s="108" t="str">
        <f t="shared" si="12"/>
        <v/>
      </c>
      <c r="Y11" s="108" t="str">
        <f t="shared" si="13"/>
        <v/>
      </c>
      <c r="Z11" s="108">
        <f t="shared" si="14"/>
        <v>1</v>
      </c>
      <c r="AA11" s="108">
        <f t="shared" si="15"/>
        <v>0.66666666666666663</v>
      </c>
      <c r="AB11" s="109">
        <f t="shared" si="16"/>
        <v>3.9999999999999996</v>
      </c>
    </row>
    <row r="12" spans="1:28" x14ac:dyDescent="0.25">
      <c r="A12" s="61">
        <v>9</v>
      </c>
      <c r="B12" s="104" t="str">
        <f>Projects!B11</f>
        <v>Project 9</v>
      </c>
      <c r="C12" s="11"/>
      <c r="D12" s="11" t="s">
        <v>253</v>
      </c>
      <c r="E12" s="11"/>
      <c r="F12" s="11" t="s">
        <v>254</v>
      </c>
      <c r="G12" s="11" t="s">
        <v>253</v>
      </c>
      <c r="H12" s="11"/>
      <c r="I12" s="11" t="s">
        <v>253</v>
      </c>
      <c r="J12" s="11" t="s">
        <v>253</v>
      </c>
      <c r="K12" s="11" t="s">
        <v>253</v>
      </c>
      <c r="L12" s="11"/>
      <c r="M12" s="11"/>
      <c r="N12" s="105" t="str">
        <f t="shared" si="3"/>
        <v>Enter L, M or H in each cell</v>
      </c>
      <c r="O12" s="106"/>
      <c r="P12" s="107">
        <f t="shared" si="4"/>
        <v>9</v>
      </c>
      <c r="Q12" s="108" t="str">
        <f t="shared" si="5"/>
        <v/>
      </c>
      <c r="R12" s="108">
        <f t="shared" si="6"/>
        <v>0.33333333333333331</v>
      </c>
      <c r="S12" s="108" t="str">
        <f t="shared" si="7"/>
        <v/>
      </c>
      <c r="T12" s="108">
        <f t="shared" si="8"/>
        <v>0.66666666666666663</v>
      </c>
      <c r="U12" s="108">
        <f t="shared" si="9"/>
        <v>0.33333333333333331</v>
      </c>
      <c r="V12" s="108" t="str">
        <f t="shared" si="10"/>
        <v/>
      </c>
      <c r="W12" s="108">
        <f t="shared" si="11"/>
        <v>0.33333333333333331</v>
      </c>
      <c r="X12" s="108">
        <f t="shared" si="12"/>
        <v>0.33333333333333331</v>
      </c>
      <c r="Y12" s="108">
        <f t="shared" si="13"/>
        <v>0.33333333333333331</v>
      </c>
      <c r="Z12" s="108" t="str">
        <f t="shared" si="14"/>
        <v/>
      </c>
      <c r="AA12" s="108" t="str">
        <f t="shared" si="15"/>
        <v/>
      </c>
      <c r="AB12" s="109">
        <f t="shared" si="16"/>
        <v>2.333333333333333</v>
      </c>
    </row>
    <row r="13" spans="1:28" x14ac:dyDescent="0.25">
      <c r="A13" s="61">
        <v>10</v>
      </c>
      <c r="B13" s="104" t="str">
        <f>Projects!B12</f>
        <v>Project 10</v>
      </c>
      <c r="C13" s="11"/>
      <c r="D13" s="11"/>
      <c r="E13" s="11"/>
      <c r="F13" s="11"/>
      <c r="G13" s="11"/>
      <c r="H13" s="11"/>
      <c r="I13" s="11"/>
      <c r="J13" s="11" t="s">
        <v>253</v>
      </c>
      <c r="K13" s="11" t="s">
        <v>253</v>
      </c>
      <c r="L13" s="11" t="s">
        <v>254</v>
      </c>
      <c r="M13" s="11" t="s">
        <v>253</v>
      </c>
      <c r="N13" s="105" t="str">
        <f t="shared" si="3"/>
        <v>Enter L, M or H in each cell</v>
      </c>
      <c r="O13" s="106"/>
      <c r="P13" s="107">
        <f t="shared" si="4"/>
        <v>10</v>
      </c>
      <c r="Q13" s="108" t="str">
        <f t="shared" si="5"/>
        <v/>
      </c>
      <c r="R13" s="108" t="str">
        <f t="shared" si="6"/>
        <v/>
      </c>
      <c r="S13" s="108" t="str">
        <f t="shared" si="7"/>
        <v/>
      </c>
      <c r="T13" s="108" t="str">
        <f t="shared" si="8"/>
        <v/>
      </c>
      <c r="U13" s="108" t="str">
        <f t="shared" si="9"/>
        <v/>
      </c>
      <c r="V13" s="108" t="str">
        <f t="shared" si="10"/>
        <v/>
      </c>
      <c r="W13" s="108" t="str">
        <f t="shared" si="11"/>
        <v/>
      </c>
      <c r="X13" s="108">
        <f t="shared" si="12"/>
        <v>0.33333333333333331</v>
      </c>
      <c r="Y13" s="108">
        <f t="shared" si="13"/>
        <v>0.33333333333333331</v>
      </c>
      <c r="Z13" s="108">
        <f t="shared" si="14"/>
        <v>0.66666666666666663</v>
      </c>
      <c r="AA13" s="108">
        <f t="shared" si="15"/>
        <v>0.33333333333333331</v>
      </c>
      <c r="AB13" s="109">
        <f t="shared" si="16"/>
        <v>1.6666666666666665</v>
      </c>
    </row>
    <row r="14" spans="1:28" x14ac:dyDescent="0.25">
      <c r="A14" s="61">
        <v>11</v>
      </c>
      <c r="B14" s="104" t="str">
        <f>Projects!B13</f>
        <v>Project 11</v>
      </c>
      <c r="C14" s="11" t="s">
        <v>253</v>
      </c>
      <c r="D14" s="11" t="s">
        <v>253</v>
      </c>
      <c r="E14" s="11"/>
      <c r="F14" s="11"/>
      <c r="G14" s="11" t="s">
        <v>253</v>
      </c>
      <c r="H14" s="11"/>
      <c r="I14" s="11"/>
      <c r="J14" s="11"/>
      <c r="K14" s="11" t="s">
        <v>253</v>
      </c>
      <c r="L14" s="11" t="s">
        <v>253</v>
      </c>
      <c r="M14" s="11"/>
      <c r="N14" s="105" t="str">
        <f t="shared" si="3"/>
        <v>Enter L, M or H in each cell</v>
      </c>
      <c r="O14" s="106"/>
      <c r="P14" s="107">
        <f t="shared" si="4"/>
        <v>11</v>
      </c>
      <c r="Q14" s="108">
        <f t="shared" si="5"/>
        <v>0.33333333333333331</v>
      </c>
      <c r="R14" s="108">
        <f t="shared" si="6"/>
        <v>0.33333333333333331</v>
      </c>
      <c r="S14" s="108" t="str">
        <f t="shared" si="7"/>
        <v/>
      </c>
      <c r="T14" s="108" t="str">
        <f t="shared" si="8"/>
        <v/>
      </c>
      <c r="U14" s="108">
        <f t="shared" si="9"/>
        <v>0.33333333333333331</v>
      </c>
      <c r="V14" s="108" t="str">
        <f t="shared" si="10"/>
        <v/>
      </c>
      <c r="W14" s="108" t="str">
        <f t="shared" si="11"/>
        <v/>
      </c>
      <c r="X14" s="108" t="str">
        <f t="shared" si="12"/>
        <v/>
      </c>
      <c r="Y14" s="108">
        <f t="shared" si="13"/>
        <v>0.33333333333333331</v>
      </c>
      <c r="Z14" s="108">
        <f t="shared" si="14"/>
        <v>0.33333333333333331</v>
      </c>
      <c r="AA14" s="108" t="str">
        <f t="shared" si="15"/>
        <v/>
      </c>
      <c r="AB14" s="109">
        <f t="shared" si="16"/>
        <v>1.6666666666666665</v>
      </c>
    </row>
    <row r="15" spans="1:28" x14ac:dyDescent="0.25">
      <c r="A15" s="61">
        <v>12</v>
      </c>
      <c r="B15" s="104" t="str">
        <f>Projects!B14</f>
        <v>Project 12</v>
      </c>
      <c r="C15" s="11"/>
      <c r="D15" s="11" t="s">
        <v>254</v>
      </c>
      <c r="E15" s="11"/>
      <c r="F15" s="11" t="s">
        <v>253</v>
      </c>
      <c r="G15" s="11" t="s">
        <v>253</v>
      </c>
      <c r="H15" s="11" t="s">
        <v>253</v>
      </c>
      <c r="I15" s="11" t="s">
        <v>253</v>
      </c>
      <c r="J15" s="11"/>
      <c r="K15" s="11" t="s">
        <v>254</v>
      </c>
      <c r="L15" s="11" t="s">
        <v>253</v>
      </c>
      <c r="M15" s="11"/>
      <c r="N15" s="105" t="str">
        <f t="shared" si="3"/>
        <v>Enter L, M or H in each cell</v>
      </c>
      <c r="O15" s="106"/>
      <c r="P15" s="107">
        <f t="shared" si="4"/>
        <v>12</v>
      </c>
      <c r="Q15" s="108" t="str">
        <f t="shared" si="5"/>
        <v/>
      </c>
      <c r="R15" s="108">
        <f t="shared" si="6"/>
        <v>0.66666666666666663</v>
      </c>
      <c r="S15" s="108" t="str">
        <f t="shared" si="7"/>
        <v/>
      </c>
      <c r="T15" s="108">
        <f t="shared" si="8"/>
        <v>0.33333333333333331</v>
      </c>
      <c r="U15" s="108">
        <f t="shared" si="9"/>
        <v>0.33333333333333331</v>
      </c>
      <c r="V15" s="108">
        <f t="shared" si="10"/>
        <v>0.33333333333333331</v>
      </c>
      <c r="W15" s="108">
        <f t="shared" si="11"/>
        <v>0.33333333333333331</v>
      </c>
      <c r="X15" s="108" t="str">
        <f t="shared" si="12"/>
        <v/>
      </c>
      <c r="Y15" s="108">
        <f t="shared" si="13"/>
        <v>0.66666666666666663</v>
      </c>
      <c r="Z15" s="108">
        <f t="shared" si="14"/>
        <v>0.33333333333333331</v>
      </c>
      <c r="AA15" s="108" t="str">
        <f t="shared" si="15"/>
        <v/>
      </c>
      <c r="AB15" s="109">
        <f t="shared" si="16"/>
        <v>3</v>
      </c>
    </row>
    <row r="16" spans="1:28" x14ac:dyDescent="0.25">
      <c r="A16" s="61">
        <v>13</v>
      </c>
      <c r="B16" s="104" t="str">
        <f>Projects!B15</f>
        <v>Project 13</v>
      </c>
      <c r="C16" s="11" t="s">
        <v>254</v>
      </c>
      <c r="D16" s="11" t="s">
        <v>253</v>
      </c>
      <c r="E16" s="11"/>
      <c r="F16" s="11" t="s">
        <v>254</v>
      </c>
      <c r="G16" s="11"/>
      <c r="H16" s="11" t="s">
        <v>254</v>
      </c>
      <c r="I16" s="11"/>
      <c r="J16" s="11" t="s">
        <v>253</v>
      </c>
      <c r="K16" s="11" t="s">
        <v>254</v>
      </c>
      <c r="L16" s="11"/>
      <c r="M16" s="11" t="s">
        <v>253</v>
      </c>
      <c r="N16" s="105" t="str">
        <f t="shared" si="3"/>
        <v>Enter L, M or H in each cell</v>
      </c>
      <c r="O16" s="106"/>
      <c r="P16" s="107">
        <f t="shared" si="4"/>
        <v>13</v>
      </c>
      <c r="Q16" s="108">
        <f t="shared" si="5"/>
        <v>0.66666666666666663</v>
      </c>
      <c r="R16" s="108">
        <f t="shared" si="6"/>
        <v>0.33333333333333331</v>
      </c>
      <c r="S16" s="108" t="str">
        <f t="shared" si="7"/>
        <v/>
      </c>
      <c r="T16" s="108">
        <f t="shared" si="8"/>
        <v>0.66666666666666663</v>
      </c>
      <c r="U16" s="108" t="str">
        <f t="shared" si="9"/>
        <v/>
      </c>
      <c r="V16" s="108">
        <f t="shared" si="10"/>
        <v>0.66666666666666663</v>
      </c>
      <c r="W16" s="108" t="str">
        <f t="shared" si="11"/>
        <v/>
      </c>
      <c r="X16" s="108">
        <f t="shared" si="12"/>
        <v>0.33333333333333331</v>
      </c>
      <c r="Y16" s="108">
        <f t="shared" si="13"/>
        <v>0.66666666666666663</v>
      </c>
      <c r="Z16" s="108" t="str">
        <f t="shared" si="14"/>
        <v/>
      </c>
      <c r="AA16" s="108">
        <f t="shared" si="15"/>
        <v>0.33333333333333331</v>
      </c>
      <c r="AB16" s="109">
        <f t="shared" si="16"/>
        <v>3.6666666666666665</v>
      </c>
    </row>
    <row r="17" spans="1:28" x14ac:dyDescent="0.25">
      <c r="A17" s="61">
        <v>14</v>
      </c>
      <c r="B17" s="104" t="str">
        <f>Projects!B16</f>
        <v>Project 14</v>
      </c>
      <c r="C17" s="11"/>
      <c r="D17" s="11"/>
      <c r="E17" s="11"/>
      <c r="F17" s="11"/>
      <c r="G17" s="11" t="s">
        <v>254</v>
      </c>
      <c r="H17" s="11" t="s">
        <v>253</v>
      </c>
      <c r="I17" s="11" t="s">
        <v>253</v>
      </c>
      <c r="J17" s="11" t="s">
        <v>254</v>
      </c>
      <c r="K17" s="11"/>
      <c r="L17" s="11"/>
      <c r="M17" s="11" t="s">
        <v>255</v>
      </c>
      <c r="N17" s="105" t="str">
        <f t="shared" si="3"/>
        <v>Enter L, M or H in each cell</v>
      </c>
      <c r="O17" s="106"/>
      <c r="P17" s="107">
        <f t="shared" si="4"/>
        <v>14</v>
      </c>
      <c r="Q17" s="108" t="str">
        <f t="shared" si="5"/>
        <v/>
      </c>
      <c r="R17" s="108" t="str">
        <f t="shared" si="6"/>
        <v/>
      </c>
      <c r="S17" s="108" t="str">
        <f t="shared" si="7"/>
        <v/>
      </c>
      <c r="T17" s="108" t="str">
        <f t="shared" si="8"/>
        <v/>
      </c>
      <c r="U17" s="108">
        <f t="shared" si="9"/>
        <v>0.66666666666666663</v>
      </c>
      <c r="V17" s="108">
        <f t="shared" si="10"/>
        <v>0.33333333333333331</v>
      </c>
      <c r="W17" s="108">
        <f t="shared" si="11"/>
        <v>0.33333333333333331</v>
      </c>
      <c r="X17" s="108">
        <f t="shared" si="12"/>
        <v>0.66666666666666663</v>
      </c>
      <c r="Y17" s="108" t="str">
        <f t="shared" si="13"/>
        <v/>
      </c>
      <c r="Z17" s="108" t="str">
        <f t="shared" si="14"/>
        <v/>
      </c>
      <c r="AA17" s="108">
        <f t="shared" si="15"/>
        <v>1</v>
      </c>
      <c r="AB17" s="109">
        <f t="shared" si="16"/>
        <v>3</v>
      </c>
    </row>
    <row r="18" spans="1:28" x14ac:dyDescent="0.25">
      <c r="A18" s="61">
        <v>15</v>
      </c>
      <c r="B18" s="104" t="str">
        <f>Projects!B17</f>
        <v>Project 15</v>
      </c>
      <c r="C18" s="11" t="s">
        <v>253</v>
      </c>
      <c r="D18" s="11" t="s">
        <v>253</v>
      </c>
      <c r="E18" s="11" t="s">
        <v>254</v>
      </c>
      <c r="F18" s="11" t="s">
        <v>253</v>
      </c>
      <c r="G18" s="11" t="s">
        <v>254</v>
      </c>
      <c r="H18" s="11"/>
      <c r="I18" s="11"/>
      <c r="J18" s="11"/>
      <c r="K18" s="11"/>
      <c r="L18" s="11"/>
      <c r="M18" s="11"/>
      <c r="N18" s="105" t="str">
        <f t="shared" si="3"/>
        <v>Enter L, M or H in each cell</v>
      </c>
      <c r="O18" s="106"/>
      <c r="P18" s="107">
        <f t="shared" si="4"/>
        <v>15</v>
      </c>
      <c r="Q18" s="108">
        <f t="shared" si="5"/>
        <v>0.33333333333333331</v>
      </c>
      <c r="R18" s="108">
        <f t="shared" si="6"/>
        <v>0.33333333333333331</v>
      </c>
      <c r="S18" s="108">
        <f t="shared" si="7"/>
        <v>0.66666666666666663</v>
      </c>
      <c r="T18" s="108">
        <f t="shared" si="8"/>
        <v>0.33333333333333331</v>
      </c>
      <c r="U18" s="108">
        <f t="shared" si="9"/>
        <v>0.66666666666666663</v>
      </c>
      <c r="V18" s="108" t="str">
        <f t="shared" si="10"/>
        <v/>
      </c>
      <c r="W18" s="108" t="str">
        <f t="shared" si="11"/>
        <v/>
      </c>
      <c r="X18" s="108" t="str">
        <f t="shared" si="12"/>
        <v/>
      </c>
      <c r="Y18" s="108" t="str">
        <f t="shared" si="13"/>
        <v/>
      </c>
      <c r="Z18" s="108" t="str">
        <f t="shared" si="14"/>
        <v/>
      </c>
      <c r="AA18" s="108" t="str">
        <f t="shared" si="15"/>
        <v/>
      </c>
      <c r="AB18" s="109">
        <f t="shared" si="16"/>
        <v>2.333333333333333</v>
      </c>
    </row>
    <row r="19" spans="1:28" x14ac:dyDescent="0.25">
      <c r="A19" s="61">
        <v>16</v>
      </c>
      <c r="B19" s="104" t="str">
        <f>Projects!B18</f>
        <v>Project 16</v>
      </c>
      <c r="C19" s="11"/>
      <c r="D19" s="11"/>
      <c r="E19" s="11"/>
      <c r="F19" s="11" t="s">
        <v>253</v>
      </c>
      <c r="G19" s="11" t="s">
        <v>253</v>
      </c>
      <c r="H19" s="11" t="s">
        <v>253</v>
      </c>
      <c r="I19" s="11" t="s">
        <v>253</v>
      </c>
      <c r="J19" s="11" t="s">
        <v>254</v>
      </c>
      <c r="K19" s="11" t="s">
        <v>253</v>
      </c>
      <c r="L19" s="11" t="s">
        <v>253</v>
      </c>
      <c r="M19" s="11" t="s">
        <v>253</v>
      </c>
      <c r="N19" s="105" t="str">
        <f t="shared" si="3"/>
        <v>Enter L, M or H in each cell</v>
      </c>
      <c r="O19" s="106"/>
      <c r="P19" s="107">
        <f t="shared" si="4"/>
        <v>16</v>
      </c>
      <c r="Q19" s="108" t="str">
        <f t="shared" si="5"/>
        <v/>
      </c>
      <c r="R19" s="108" t="str">
        <f t="shared" si="6"/>
        <v/>
      </c>
      <c r="S19" s="108" t="str">
        <f t="shared" si="7"/>
        <v/>
      </c>
      <c r="T19" s="108">
        <f t="shared" si="8"/>
        <v>0.33333333333333331</v>
      </c>
      <c r="U19" s="108">
        <f t="shared" si="9"/>
        <v>0.33333333333333331</v>
      </c>
      <c r="V19" s="108">
        <f t="shared" si="10"/>
        <v>0.33333333333333331</v>
      </c>
      <c r="W19" s="108">
        <f t="shared" si="11"/>
        <v>0.33333333333333331</v>
      </c>
      <c r="X19" s="108">
        <f t="shared" si="12"/>
        <v>0.66666666666666663</v>
      </c>
      <c r="Y19" s="108">
        <f t="shared" si="13"/>
        <v>0.33333333333333331</v>
      </c>
      <c r="Z19" s="108">
        <f t="shared" si="14"/>
        <v>0.33333333333333331</v>
      </c>
      <c r="AA19" s="108">
        <f t="shared" si="15"/>
        <v>0.33333333333333331</v>
      </c>
      <c r="AB19" s="109">
        <f t="shared" si="16"/>
        <v>3.0000000000000004</v>
      </c>
    </row>
    <row r="20" spans="1:28" x14ac:dyDescent="0.25">
      <c r="A20" s="61">
        <v>17</v>
      </c>
      <c r="B20" s="104" t="str">
        <f>Projects!B19</f>
        <v>Project 17</v>
      </c>
      <c r="C20" s="11"/>
      <c r="D20" s="11"/>
      <c r="E20" s="11"/>
      <c r="F20" s="11" t="s">
        <v>254</v>
      </c>
      <c r="G20" s="11" t="s">
        <v>255</v>
      </c>
      <c r="H20" s="11"/>
      <c r="I20" s="11"/>
      <c r="J20" s="11"/>
      <c r="K20" s="11" t="s">
        <v>253</v>
      </c>
      <c r="L20" s="11" t="s">
        <v>253</v>
      </c>
      <c r="M20" s="11" t="s">
        <v>253</v>
      </c>
      <c r="N20" s="105" t="str">
        <f t="shared" si="3"/>
        <v>Enter L, M or H in each cell</v>
      </c>
      <c r="O20" s="106"/>
      <c r="P20" s="107">
        <f t="shared" si="4"/>
        <v>17</v>
      </c>
      <c r="Q20" s="108" t="str">
        <f t="shared" si="5"/>
        <v/>
      </c>
      <c r="R20" s="108" t="str">
        <f t="shared" si="6"/>
        <v/>
      </c>
      <c r="S20" s="108" t="str">
        <f t="shared" si="7"/>
        <v/>
      </c>
      <c r="T20" s="108">
        <f t="shared" si="8"/>
        <v>0.66666666666666663</v>
      </c>
      <c r="U20" s="108">
        <f t="shared" si="9"/>
        <v>1</v>
      </c>
      <c r="V20" s="108" t="str">
        <f t="shared" si="10"/>
        <v/>
      </c>
      <c r="W20" s="108" t="str">
        <f t="shared" si="11"/>
        <v/>
      </c>
      <c r="X20" s="108" t="str">
        <f t="shared" si="12"/>
        <v/>
      </c>
      <c r="Y20" s="108">
        <f t="shared" si="13"/>
        <v>0.33333333333333331</v>
      </c>
      <c r="Z20" s="108">
        <f t="shared" si="14"/>
        <v>0.33333333333333331</v>
      </c>
      <c r="AA20" s="108">
        <f t="shared" si="15"/>
        <v>0.33333333333333331</v>
      </c>
      <c r="AB20" s="109">
        <f t="shared" si="16"/>
        <v>2.6666666666666665</v>
      </c>
    </row>
    <row r="21" spans="1:28" x14ac:dyDescent="0.25">
      <c r="A21" s="61">
        <v>18</v>
      </c>
      <c r="B21" s="104" t="str">
        <f>Projects!B20</f>
        <v>Project 18</v>
      </c>
      <c r="C21" s="11"/>
      <c r="D21" s="11" t="s">
        <v>253</v>
      </c>
      <c r="E21" s="11" t="s">
        <v>253</v>
      </c>
      <c r="F21" s="11" t="s">
        <v>253</v>
      </c>
      <c r="G21" s="11"/>
      <c r="H21" s="11" t="s">
        <v>253</v>
      </c>
      <c r="I21" s="11" t="s">
        <v>253</v>
      </c>
      <c r="J21" s="11"/>
      <c r="K21" s="11" t="s">
        <v>253</v>
      </c>
      <c r="L21" s="11" t="s">
        <v>253</v>
      </c>
      <c r="M21" s="11" t="s">
        <v>253</v>
      </c>
      <c r="N21" s="105" t="str">
        <f t="shared" si="3"/>
        <v>Enter L, M or H in each cell</v>
      </c>
      <c r="O21" s="106"/>
      <c r="P21" s="107">
        <f t="shared" si="4"/>
        <v>18</v>
      </c>
      <c r="Q21" s="108" t="str">
        <f t="shared" si="5"/>
        <v/>
      </c>
      <c r="R21" s="108">
        <f t="shared" si="6"/>
        <v>0.33333333333333331</v>
      </c>
      <c r="S21" s="108">
        <f t="shared" si="7"/>
        <v>0.33333333333333331</v>
      </c>
      <c r="T21" s="108">
        <f t="shared" si="8"/>
        <v>0.33333333333333331</v>
      </c>
      <c r="U21" s="108" t="str">
        <f t="shared" si="9"/>
        <v/>
      </c>
      <c r="V21" s="108">
        <f t="shared" si="10"/>
        <v>0.33333333333333331</v>
      </c>
      <c r="W21" s="108">
        <f t="shared" si="11"/>
        <v>0.33333333333333331</v>
      </c>
      <c r="X21" s="108" t="str">
        <f t="shared" si="12"/>
        <v/>
      </c>
      <c r="Y21" s="108">
        <f t="shared" si="13"/>
        <v>0.33333333333333331</v>
      </c>
      <c r="Z21" s="108">
        <f t="shared" si="14"/>
        <v>0.33333333333333331</v>
      </c>
      <c r="AA21" s="108">
        <f t="shared" si="15"/>
        <v>0.33333333333333331</v>
      </c>
      <c r="AB21" s="109">
        <f t="shared" si="16"/>
        <v>2.6666666666666665</v>
      </c>
    </row>
    <row r="22" spans="1:28" x14ac:dyDescent="0.25">
      <c r="A22" s="61">
        <v>19</v>
      </c>
      <c r="B22" s="104" t="str">
        <f>Projects!B21</f>
        <v>Project 19</v>
      </c>
      <c r="C22" s="11"/>
      <c r="D22" s="11"/>
      <c r="E22" s="11"/>
      <c r="F22" s="11" t="s">
        <v>254</v>
      </c>
      <c r="G22" s="11" t="s">
        <v>254</v>
      </c>
      <c r="H22" s="11"/>
      <c r="I22" s="11" t="s">
        <v>254</v>
      </c>
      <c r="J22" s="11"/>
      <c r="K22" s="11" t="s">
        <v>254</v>
      </c>
      <c r="L22" s="11" t="s">
        <v>253</v>
      </c>
      <c r="M22" s="11"/>
      <c r="N22" s="105" t="str">
        <f t="shared" si="3"/>
        <v>Enter L, M or H in each cell</v>
      </c>
      <c r="O22" s="106"/>
      <c r="P22" s="107">
        <f t="shared" si="4"/>
        <v>19</v>
      </c>
      <c r="Q22" s="108" t="str">
        <f t="shared" si="5"/>
        <v/>
      </c>
      <c r="R22" s="108" t="str">
        <f t="shared" si="6"/>
        <v/>
      </c>
      <c r="S22" s="108" t="str">
        <f t="shared" si="7"/>
        <v/>
      </c>
      <c r="T22" s="108">
        <f t="shared" si="8"/>
        <v>0.66666666666666663</v>
      </c>
      <c r="U22" s="108">
        <f t="shared" si="9"/>
        <v>0.66666666666666663</v>
      </c>
      <c r="V22" s="108" t="str">
        <f t="shared" si="10"/>
        <v/>
      </c>
      <c r="W22" s="108">
        <f t="shared" si="11"/>
        <v>0.66666666666666663</v>
      </c>
      <c r="X22" s="108" t="str">
        <f t="shared" si="12"/>
        <v/>
      </c>
      <c r="Y22" s="108">
        <f t="shared" si="13"/>
        <v>0.66666666666666663</v>
      </c>
      <c r="Z22" s="108">
        <f t="shared" si="14"/>
        <v>0.33333333333333331</v>
      </c>
      <c r="AA22" s="108" t="str">
        <f t="shared" si="15"/>
        <v/>
      </c>
      <c r="AB22" s="109">
        <f t="shared" si="16"/>
        <v>3</v>
      </c>
    </row>
    <row r="23" spans="1:28" x14ac:dyDescent="0.25">
      <c r="A23" s="61">
        <v>20</v>
      </c>
      <c r="B23" s="104" t="str">
        <f>Projects!B22</f>
        <v>Project 20</v>
      </c>
      <c r="C23" s="11"/>
      <c r="D23" s="11" t="s">
        <v>253</v>
      </c>
      <c r="E23" s="11" t="s">
        <v>253</v>
      </c>
      <c r="F23" s="11"/>
      <c r="G23" s="11" t="s">
        <v>253</v>
      </c>
      <c r="H23" s="11"/>
      <c r="I23" s="11" t="s">
        <v>254</v>
      </c>
      <c r="J23" s="11"/>
      <c r="K23" s="11" t="s">
        <v>254</v>
      </c>
      <c r="L23" s="11" t="s">
        <v>255</v>
      </c>
      <c r="M23" s="11"/>
      <c r="N23" s="105" t="str">
        <f t="shared" si="3"/>
        <v>Enter L, M or H in each cell</v>
      </c>
      <c r="O23" s="106"/>
      <c r="P23" s="107">
        <f t="shared" si="4"/>
        <v>20</v>
      </c>
      <c r="Q23" s="108" t="str">
        <f t="shared" si="5"/>
        <v/>
      </c>
      <c r="R23" s="108">
        <f t="shared" si="6"/>
        <v>0.33333333333333331</v>
      </c>
      <c r="S23" s="108">
        <f t="shared" si="7"/>
        <v>0.33333333333333331</v>
      </c>
      <c r="T23" s="108" t="str">
        <f t="shared" si="8"/>
        <v/>
      </c>
      <c r="U23" s="108">
        <f t="shared" si="9"/>
        <v>0.33333333333333331</v>
      </c>
      <c r="V23" s="108" t="str">
        <f t="shared" si="10"/>
        <v/>
      </c>
      <c r="W23" s="108">
        <f t="shared" si="11"/>
        <v>0.66666666666666663</v>
      </c>
      <c r="X23" s="108" t="str">
        <f t="shared" si="12"/>
        <v/>
      </c>
      <c r="Y23" s="108">
        <f t="shared" si="13"/>
        <v>0.66666666666666663</v>
      </c>
      <c r="Z23" s="108">
        <f t="shared" si="14"/>
        <v>1</v>
      </c>
      <c r="AA23" s="108" t="str">
        <f t="shared" si="15"/>
        <v/>
      </c>
      <c r="AB23" s="109">
        <f t="shared" si="16"/>
        <v>3.333333333333333</v>
      </c>
    </row>
    <row r="24" spans="1:28" x14ac:dyDescent="0.25">
      <c r="A24" s="61">
        <v>21</v>
      </c>
      <c r="B24" s="104" t="str">
        <f>Projects!B23</f>
        <v>Project 21</v>
      </c>
      <c r="C24" s="11" t="s">
        <v>253</v>
      </c>
      <c r="D24" s="11"/>
      <c r="E24" s="11"/>
      <c r="F24" s="11" t="s">
        <v>255</v>
      </c>
      <c r="G24" s="11" t="s">
        <v>253</v>
      </c>
      <c r="H24" s="11" t="s">
        <v>253</v>
      </c>
      <c r="I24" s="11" t="s">
        <v>253</v>
      </c>
      <c r="J24" s="11"/>
      <c r="K24" s="11"/>
      <c r="L24" s="11"/>
      <c r="M24" s="11" t="s">
        <v>253</v>
      </c>
      <c r="N24" s="105" t="str">
        <f t="shared" si="3"/>
        <v>Enter L, M or H in each cell</v>
      </c>
      <c r="O24" s="106"/>
      <c r="P24" s="107">
        <f t="shared" si="4"/>
        <v>21</v>
      </c>
      <c r="Q24" s="108">
        <f t="shared" si="5"/>
        <v>0.33333333333333331</v>
      </c>
      <c r="R24" s="108" t="str">
        <f t="shared" si="6"/>
        <v/>
      </c>
      <c r="S24" s="108" t="str">
        <f t="shared" si="7"/>
        <v/>
      </c>
      <c r="T24" s="108">
        <f t="shared" si="8"/>
        <v>1</v>
      </c>
      <c r="U24" s="108">
        <f t="shared" si="9"/>
        <v>0.33333333333333331</v>
      </c>
      <c r="V24" s="108">
        <f t="shared" si="10"/>
        <v>0.33333333333333331</v>
      </c>
      <c r="W24" s="108">
        <f t="shared" si="11"/>
        <v>0.33333333333333331</v>
      </c>
      <c r="X24" s="108" t="str">
        <f t="shared" si="12"/>
        <v/>
      </c>
      <c r="Y24" s="108" t="str">
        <f t="shared" si="13"/>
        <v/>
      </c>
      <c r="Z24" s="108" t="str">
        <f t="shared" si="14"/>
        <v/>
      </c>
      <c r="AA24" s="108">
        <f t="shared" si="15"/>
        <v>0.33333333333333331</v>
      </c>
      <c r="AB24" s="109">
        <f t="shared" si="16"/>
        <v>2.6666666666666665</v>
      </c>
    </row>
    <row r="25" spans="1:28" x14ac:dyDescent="0.25">
      <c r="A25" s="61">
        <v>22</v>
      </c>
      <c r="B25" s="104" t="str">
        <f>Projects!B24</f>
        <v>Project 22</v>
      </c>
      <c r="C25" s="11"/>
      <c r="D25" s="11" t="s">
        <v>253</v>
      </c>
      <c r="E25" s="11"/>
      <c r="F25" s="11"/>
      <c r="G25" s="11" t="s">
        <v>253</v>
      </c>
      <c r="H25" s="11" t="s">
        <v>253</v>
      </c>
      <c r="I25" s="11" t="s">
        <v>253</v>
      </c>
      <c r="J25" s="11"/>
      <c r="K25" s="11" t="s">
        <v>253</v>
      </c>
      <c r="L25" s="11"/>
      <c r="M25" s="11" t="s">
        <v>254</v>
      </c>
      <c r="N25" s="105" t="str">
        <f t="shared" si="3"/>
        <v>Enter L, M or H in each cell</v>
      </c>
      <c r="O25" s="106"/>
      <c r="P25" s="107">
        <f t="shared" si="4"/>
        <v>22</v>
      </c>
      <c r="Q25" s="108" t="str">
        <f t="shared" si="5"/>
        <v/>
      </c>
      <c r="R25" s="108">
        <f t="shared" si="6"/>
        <v>0.33333333333333331</v>
      </c>
      <c r="S25" s="108" t="str">
        <f t="shared" si="7"/>
        <v/>
      </c>
      <c r="T25" s="108" t="str">
        <f t="shared" si="8"/>
        <v/>
      </c>
      <c r="U25" s="108">
        <f t="shared" si="9"/>
        <v>0.33333333333333331</v>
      </c>
      <c r="V25" s="108">
        <f t="shared" si="10"/>
        <v>0.33333333333333331</v>
      </c>
      <c r="W25" s="108">
        <f t="shared" si="11"/>
        <v>0.33333333333333331</v>
      </c>
      <c r="X25" s="108" t="str">
        <f t="shared" si="12"/>
        <v/>
      </c>
      <c r="Y25" s="108">
        <f t="shared" si="13"/>
        <v>0.33333333333333331</v>
      </c>
      <c r="Z25" s="108" t="str">
        <f t="shared" si="14"/>
        <v/>
      </c>
      <c r="AA25" s="108">
        <f t="shared" si="15"/>
        <v>0.66666666666666663</v>
      </c>
      <c r="AB25" s="109">
        <f t="shared" si="16"/>
        <v>2.333333333333333</v>
      </c>
    </row>
    <row r="26" spans="1:28" x14ac:dyDescent="0.25">
      <c r="A26" s="61">
        <v>23</v>
      </c>
      <c r="B26" s="104" t="str">
        <f>Projects!B25</f>
        <v>Project 23</v>
      </c>
      <c r="C26" s="11" t="s">
        <v>253</v>
      </c>
      <c r="D26" s="11" t="s">
        <v>254</v>
      </c>
      <c r="E26" s="11" t="s">
        <v>253</v>
      </c>
      <c r="F26" s="11" t="s">
        <v>253</v>
      </c>
      <c r="G26" s="11" t="s">
        <v>254</v>
      </c>
      <c r="H26" s="11" t="s">
        <v>254</v>
      </c>
      <c r="I26" s="11" t="s">
        <v>253</v>
      </c>
      <c r="J26" s="11" t="s">
        <v>254</v>
      </c>
      <c r="K26" s="11" t="s">
        <v>253</v>
      </c>
      <c r="L26" s="11" t="s">
        <v>254</v>
      </c>
      <c r="M26" s="11" t="s">
        <v>254</v>
      </c>
      <c r="N26" s="105" t="str">
        <f t="shared" si="3"/>
        <v/>
      </c>
      <c r="O26" s="106"/>
      <c r="P26" s="107">
        <f t="shared" si="4"/>
        <v>23</v>
      </c>
      <c r="Q26" s="108">
        <f t="shared" si="5"/>
        <v>0.33333333333333331</v>
      </c>
      <c r="R26" s="108">
        <f t="shared" si="6"/>
        <v>0.66666666666666663</v>
      </c>
      <c r="S26" s="108">
        <f t="shared" si="7"/>
        <v>0.33333333333333331</v>
      </c>
      <c r="T26" s="108">
        <f t="shared" si="8"/>
        <v>0.33333333333333331</v>
      </c>
      <c r="U26" s="108">
        <f t="shared" si="9"/>
        <v>0.66666666666666663</v>
      </c>
      <c r="V26" s="108">
        <f t="shared" si="10"/>
        <v>0.66666666666666663</v>
      </c>
      <c r="W26" s="108">
        <f t="shared" si="11"/>
        <v>0.33333333333333331</v>
      </c>
      <c r="X26" s="108">
        <f t="shared" si="12"/>
        <v>0.66666666666666663</v>
      </c>
      <c r="Y26" s="108">
        <f t="shared" si="13"/>
        <v>0.33333333333333331</v>
      </c>
      <c r="Z26" s="108">
        <f t="shared" si="14"/>
        <v>0.66666666666666663</v>
      </c>
      <c r="AA26" s="108">
        <f t="shared" si="15"/>
        <v>0.66666666666666663</v>
      </c>
      <c r="AB26" s="109">
        <f t="shared" si="16"/>
        <v>5.666666666666667</v>
      </c>
    </row>
    <row r="27" spans="1:28" x14ac:dyDescent="0.25">
      <c r="A27" s="61">
        <v>24</v>
      </c>
      <c r="B27" s="104" t="str">
        <f>Projects!B26</f>
        <v>Project 24</v>
      </c>
      <c r="C27" s="11"/>
      <c r="D27" s="11"/>
      <c r="E27" s="11"/>
      <c r="F27" s="11"/>
      <c r="G27" s="11"/>
      <c r="H27" s="11"/>
      <c r="I27" s="11"/>
      <c r="J27" s="11"/>
      <c r="K27" s="11"/>
      <c r="L27" s="11"/>
      <c r="M27" s="11"/>
      <c r="N27" s="105" t="str">
        <f t="shared" si="3"/>
        <v>Enter L, M or H in each cell</v>
      </c>
      <c r="O27" s="106"/>
      <c r="P27" s="107">
        <f t="shared" si="4"/>
        <v>24</v>
      </c>
      <c r="Q27" s="108" t="str">
        <f t="shared" si="5"/>
        <v/>
      </c>
      <c r="R27" s="108" t="str">
        <f t="shared" si="6"/>
        <v/>
      </c>
      <c r="S27" s="108" t="str">
        <f t="shared" si="7"/>
        <v/>
      </c>
      <c r="T27" s="108" t="str">
        <f t="shared" si="8"/>
        <v/>
      </c>
      <c r="U27" s="108" t="str">
        <f t="shared" si="9"/>
        <v/>
      </c>
      <c r="V27" s="108" t="str">
        <f t="shared" si="10"/>
        <v/>
      </c>
      <c r="W27" s="108" t="str">
        <f t="shared" si="11"/>
        <v/>
      </c>
      <c r="X27" s="108" t="str">
        <f t="shared" si="12"/>
        <v/>
      </c>
      <c r="Y27" s="108" t="str">
        <f t="shared" si="13"/>
        <v/>
      </c>
      <c r="Z27" s="108" t="str">
        <f t="shared" si="14"/>
        <v/>
      </c>
      <c r="AA27" s="108" t="str">
        <f t="shared" si="15"/>
        <v/>
      </c>
      <c r="AB27" s="109" t="str">
        <f t="shared" si="16"/>
        <v/>
      </c>
    </row>
    <row r="28" spans="1:28" x14ac:dyDescent="0.25">
      <c r="A28" s="61">
        <v>25</v>
      </c>
      <c r="B28" s="104" t="str">
        <f>Projects!B27</f>
        <v>Project 25</v>
      </c>
      <c r="C28" s="11"/>
      <c r="D28" s="11"/>
      <c r="E28" s="11"/>
      <c r="F28" s="11"/>
      <c r="G28" s="11"/>
      <c r="H28" s="11"/>
      <c r="I28" s="11"/>
      <c r="J28" s="11"/>
      <c r="K28" s="11"/>
      <c r="L28" s="11"/>
      <c r="M28" s="11"/>
      <c r="N28" s="105" t="str">
        <f t="shared" si="3"/>
        <v>Enter L, M or H in each cell</v>
      </c>
      <c r="O28" s="106"/>
      <c r="P28" s="107">
        <f t="shared" si="4"/>
        <v>25</v>
      </c>
      <c r="Q28" s="108" t="str">
        <f t="shared" si="5"/>
        <v/>
      </c>
      <c r="R28" s="108" t="str">
        <f t="shared" si="6"/>
        <v/>
      </c>
      <c r="S28" s="108" t="str">
        <f t="shared" si="7"/>
        <v/>
      </c>
      <c r="T28" s="108" t="str">
        <f t="shared" si="8"/>
        <v/>
      </c>
      <c r="U28" s="108" t="str">
        <f t="shared" si="9"/>
        <v/>
      </c>
      <c r="V28" s="108" t="str">
        <f t="shared" si="10"/>
        <v/>
      </c>
      <c r="W28" s="108" t="str">
        <f t="shared" si="11"/>
        <v/>
      </c>
      <c r="X28" s="108" t="str">
        <f t="shared" si="12"/>
        <v/>
      </c>
      <c r="Y28" s="108" t="str">
        <f t="shared" si="13"/>
        <v/>
      </c>
      <c r="Z28" s="108" t="str">
        <f t="shared" si="14"/>
        <v/>
      </c>
      <c r="AA28" s="108" t="str">
        <f t="shared" si="15"/>
        <v/>
      </c>
      <c r="AB28" s="109" t="str">
        <f t="shared" si="16"/>
        <v/>
      </c>
    </row>
    <row r="29" spans="1:28" x14ac:dyDescent="0.25">
      <c r="B29" s="5" t="s">
        <v>227</v>
      </c>
      <c r="C29" s="59">
        <f t="shared" ref="C29:M29" si="17">COUNTIF(C4:C28,"&gt;"&amp;"a")</f>
        <v>9</v>
      </c>
      <c r="D29" s="59">
        <f t="shared" si="17"/>
        <v>14</v>
      </c>
      <c r="E29" s="59">
        <f t="shared" si="17"/>
        <v>8</v>
      </c>
      <c r="F29" s="59">
        <f t="shared" si="17"/>
        <v>16</v>
      </c>
      <c r="G29" s="59">
        <f t="shared" si="17"/>
        <v>18</v>
      </c>
      <c r="H29" s="59">
        <f t="shared" si="17"/>
        <v>12</v>
      </c>
      <c r="I29" s="59">
        <f t="shared" si="17"/>
        <v>15</v>
      </c>
      <c r="J29" s="59">
        <f t="shared" si="17"/>
        <v>9</v>
      </c>
      <c r="K29" s="59">
        <f t="shared" si="17"/>
        <v>16</v>
      </c>
      <c r="L29" s="59">
        <f t="shared" si="17"/>
        <v>12</v>
      </c>
      <c r="M29" s="59">
        <f t="shared" si="17"/>
        <v>13</v>
      </c>
    </row>
  </sheetData>
  <conditionalFormatting sqref="Q3:AA3">
    <cfRule type="dataBar" priority="5">
      <dataBar>
        <cfvo type="min"/>
        <cfvo type="max"/>
        <color rgb="FF63C384"/>
      </dataBar>
      <extLst>
        <ext xmlns:x14="http://schemas.microsoft.com/office/spreadsheetml/2009/9/main" uri="{B025F937-C7B1-47D3-B67F-A62EFF666E3E}">
          <x14:id>{1E042AC4-26D8-4AA3-9BE5-D0389F5EA0D2}</x14:id>
        </ext>
      </extLst>
    </cfRule>
  </conditionalFormatting>
  <conditionalFormatting sqref="AB4:AB28">
    <cfRule type="colorScale" priority="8">
      <colorScale>
        <cfvo type="min"/>
        <cfvo type="percentile" val="50"/>
        <cfvo type="max"/>
        <color rgb="FFF8696B"/>
        <color rgb="FFFFEB84"/>
        <color rgb="FF63BE7B"/>
      </colorScale>
    </cfRule>
  </conditionalFormatting>
  <conditionalFormatting sqref="Q4:AA28">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E042AC4-26D8-4AA3-9BE5-D0389F5EA0D2}">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782BE-C299-4AA5-A1BD-3336B88EDB92}">
  <sheetPr codeName="Sheet7">
    <tabColor theme="9" tint="0.79998168889431442"/>
  </sheetPr>
  <dimension ref="A1:AB14"/>
  <sheetViews>
    <sheetView zoomScaleNormal="100" workbookViewId="0">
      <pane ySplit="3" topLeftCell="A4" activePane="bottomLeft" state="frozen"/>
      <selection activeCell="D23" sqref="D23"/>
      <selection pane="bottomLeft" activeCell="C4" sqref="C4"/>
    </sheetView>
  </sheetViews>
  <sheetFormatPr defaultRowHeight="15" x14ac:dyDescent="0.25"/>
  <cols>
    <col min="1" max="1" width="5.42578125" style="103" customWidth="1"/>
    <col min="2" max="2" width="28.28515625" bestFit="1" customWidth="1"/>
    <col min="3" max="3" width="4.28515625" style="47" customWidth="1"/>
    <col min="4" max="13" width="4.28515625" customWidth="1"/>
    <col min="14" max="14" width="24.42578125" bestFit="1" customWidth="1"/>
    <col min="15" max="15" width="1.7109375" customWidth="1"/>
    <col min="17" max="27" width="4.28515625" customWidth="1"/>
  </cols>
  <sheetData>
    <row r="1" spans="1:28" x14ac:dyDescent="0.25">
      <c r="A1" s="110" t="s">
        <v>228</v>
      </c>
      <c r="D1" s="47"/>
      <c r="E1" s="47"/>
      <c r="F1" s="47"/>
      <c r="G1" s="47"/>
      <c r="H1" s="47"/>
      <c r="I1" s="47"/>
      <c r="J1" s="47"/>
      <c r="K1" s="47"/>
      <c r="L1" s="47"/>
      <c r="M1" s="47"/>
      <c r="O1" s="111"/>
      <c r="P1" s="110" t="s">
        <v>229</v>
      </c>
    </row>
    <row r="2" spans="1:28" ht="59.25" x14ac:dyDescent="0.25">
      <c r="A2" s="93" t="s">
        <v>181</v>
      </c>
      <c r="B2" s="11" t="s">
        <v>182</v>
      </c>
      <c r="C2" s="94" t="str">
        <f>Keywords!G6</f>
        <v>Keyword 1</v>
      </c>
      <c r="D2" s="94" t="str">
        <f>Keywords!H6</f>
        <v>Keyword 2</v>
      </c>
      <c r="E2" s="94" t="str">
        <f>Keywords!I6</f>
        <v>Keyword 3</v>
      </c>
      <c r="F2" s="94" t="str">
        <f>Keywords!J6</f>
        <v>Keyword 4</v>
      </c>
      <c r="G2" s="94" t="str">
        <f>Keywords!K6</f>
        <v>Keyword 5</v>
      </c>
      <c r="H2" s="94" t="str">
        <f>Keywords!L6</f>
        <v>Keyword 6</v>
      </c>
      <c r="I2" s="94" t="str">
        <f>Keywords!M6</f>
        <v>Keyword 7</v>
      </c>
      <c r="J2" s="94" t="str">
        <f>Keywords!N6</f>
        <v>Keyword 8</v>
      </c>
      <c r="K2" s="94" t="str">
        <f>Keywords!O6</f>
        <v>Keyword 9</v>
      </c>
      <c r="L2" s="94" t="str">
        <f>Keywords!P6</f>
        <v>Keyword 10</v>
      </c>
      <c r="M2" s="94" t="str">
        <f>Keywords!Q6</f>
        <v>Keyword 11</v>
      </c>
      <c r="N2" s="44" t="s">
        <v>225</v>
      </c>
      <c r="O2" s="111"/>
      <c r="P2" s="93" t="s">
        <v>181</v>
      </c>
      <c r="Q2" s="96" t="str">
        <f>C2</f>
        <v>Keyword 1</v>
      </c>
      <c r="R2" s="96" t="str">
        <f t="shared" ref="R2:AA2" si="0">D2</f>
        <v>Keyword 2</v>
      </c>
      <c r="S2" s="96" t="str">
        <f t="shared" si="0"/>
        <v>Keyword 3</v>
      </c>
      <c r="T2" s="96" t="str">
        <f t="shared" si="0"/>
        <v>Keyword 4</v>
      </c>
      <c r="U2" s="96" t="str">
        <f t="shared" si="0"/>
        <v>Keyword 5</v>
      </c>
      <c r="V2" s="96" t="str">
        <f t="shared" si="0"/>
        <v>Keyword 6</v>
      </c>
      <c r="W2" s="96" t="str">
        <f t="shared" si="0"/>
        <v>Keyword 7</v>
      </c>
      <c r="X2" s="96" t="str">
        <f t="shared" si="0"/>
        <v>Keyword 8</v>
      </c>
      <c r="Y2" s="96" t="str">
        <f t="shared" si="0"/>
        <v>Keyword 9</v>
      </c>
      <c r="Z2" s="96" t="str">
        <f t="shared" si="0"/>
        <v>Keyword 10</v>
      </c>
      <c r="AA2" s="96" t="str">
        <f t="shared" si="0"/>
        <v>Keyword 11</v>
      </c>
      <c r="AB2" t="s">
        <v>226</v>
      </c>
    </row>
    <row r="3" spans="1:28" x14ac:dyDescent="0.25">
      <c r="A3" s="97"/>
      <c r="B3" s="29" t="s">
        <v>230</v>
      </c>
      <c r="C3" s="59">
        <f>ROUND(('Project Keywords'!C29*'Competition Parameters'!$C$3-COUNTIF('Marker Expertise'!C4:C13,"&gt;"&amp;"@")*'Competition Parameters'!$C$4)/'Competition Parameters'!$C$4+0.5,0)</f>
        <v>-1</v>
      </c>
      <c r="D3" s="59">
        <f>ROUND(('Project Keywords'!D29*'Competition Parameters'!$C$3-COUNTIF('Marker Expertise'!D4:D13,"&gt;"&amp;"@")*'Competition Parameters'!$C$4)/'Competition Parameters'!$C$4+0.5,0)</f>
        <v>0</v>
      </c>
      <c r="E3" s="59">
        <f>ROUND(('Project Keywords'!E29*'Competition Parameters'!$C$3-COUNTIF('Marker Expertise'!E4:E13,"&gt;"&amp;"@")*'Competition Parameters'!$C$4)/'Competition Parameters'!$C$4+0.5,0)</f>
        <v>-4</v>
      </c>
      <c r="F3" s="59">
        <f>ROUND(('Project Keywords'!F29*'Competition Parameters'!$C$3-COUNTIF('Marker Expertise'!F4:F13,"&gt;"&amp;"@")*'Competition Parameters'!$C$4)/'Competition Parameters'!$C$4+0.5,0)</f>
        <v>3</v>
      </c>
      <c r="G3" s="59">
        <f>ROUND(('Project Keywords'!G29*'Competition Parameters'!$C$3-COUNTIF('Marker Expertise'!G4:G13,"&gt;"&amp;"@")*'Competition Parameters'!$C$4)/'Competition Parameters'!$C$4+0.5,0)</f>
        <v>2</v>
      </c>
      <c r="H3" s="59">
        <f>ROUND(('Project Keywords'!H29*'Competition Parameters'!$C$3-COUNTIF('Marker Expertise'!H4:H13,"&gt;"&amp;"@")*'Competition Parameters'!$C$4)/'Competition Parameters'!$C$4+0.5,0)</f>
        <v>0</v>
      </c>
      <c r="I3" s="59">
        <f>ROUND(('Project Keywords'!I29*'Competition Parameters'!$C$3-COUNTIF('Marker Expertise'!I4:I13,"&gt;"&amp;"@")*'Competition Parameters'!$C$4)/'Competition Parameters'!$C$4+0.5,0)</f>
        <v>-2</v>
      </c>
      <c r="J3" s="59">
        <f>ROUND(('Project Keywords'!J29*'Competition Parameters'!$C$3-COUNTIF('Marker Expertise'!J4:J13,"&gt;"&amp;"@")*'Competition Parameters'!$C$4)/'Competition Parameters'!$C$4+0.5,0)</f>
        <v>-1</v>
      </c>
      <c r="K3" s="59">
        <f>ROUND(('Project Keywords'!K29*'Competition Parameters'!$C$3-COUNTIF('Marker Expertise'!K4:K13,"&gt;"&amp;"@")*'Competition Parameters'!$C$4)/'Competition Parameters'!$C$4+0.5,0)</f>
        <v>-1</v>
      </c>
      <c r="L3" s="59">
        <f>ROUND(('Project Keywords'!L29*'Competition Parameters'!$C$3-COUNTIF('Marker Expertise'!L4:L13,"&gt;"&amp;"@")*'Competition Parameters'!$C$4)/'Competition Parameters'!$C$4+0.5,0)</f>
        <v>2</v>
      </c>
      <c r="M3" s="59">
        <f>ROUND(('Project Keywords'!M29*'Competition Parameters'!$C$3-COUNTIF('Marker Expertise'!M4:M13,"&gt;"&amp;"@")*'Competition Parameters'!$C$4)/'Competition Parameters'!$C$4+0.5,0)</f>
        <v>2</v>
      </c>
      <c r="N3" s="112"/>
      <c r="O3" s="111"/>
      <c r="P3" s="103" t="s">
        <v>231</v>
      </c>
      <c r="Q3" s="102">
        <f t="shared" ref="Q3:AA3" si="1">IF(COUNT(Q4:Q13)&gt;0,AVERAGE(Q4:Q13),"")</f>
        <v>0.6</v>
      </c>
      <c r="R3" s="102">
        <f t="shared" si="1"/>
        <v>0.38888888888888884</v>
      </c>
      <c r="S3" s="102">
        <f t="shared" si="1"/>
        <v>0.45833333333333331</v>
      </c>
      <c r="T3" s="102">
        <f t="shared" si="1"/>
        <v>0.58333333333333326</v>
      </c>
      <c r="U3" s="102">
        <f t="shared" si="1"/>
        <v>0.5</v>
      </c>
      <c r="V3" s="102">
        <f t="shared" si="1"/>
        <v>0.6</v>
      </c>
      <c r="W3" s="102">
        <f t="shared" si="1"/>
        <v>0.375</v>
      </c>
      <c r="X3" s="102">
        <f t="shared" si="1"/>
        <v>0.53333333333333333</v>
      </c>
      <c r="Y3" s="102">
        <f t="shared" si="1"/>
        <v>0.375</v>
      </c>
      <c r="Z3" s="102">
        <f t="shared" si="1"/>
        <v>0.44444444444444442</v>
      </c>
      <c r="AA3" s="102">
        <f t="shared" si="1"/>
        <v>0.41666666666666663</v>
      </c>
      <c r="AB3" s="113">
        <f>IF(COUNT(Q3:AA3)&gt;0,AVERAGE(Q3:AA3),"")</f>
        <v>0.47954545454545455</v>
      </c>
    </row>
    <row r="4" spans="1:28" x14ac:dyDescent="0.25">
      <c r="A4" s="61">
        <f>IF(Markers!B2&gt;0,Markers!A2,"")</f>
        <v>1</v>
      </c>
      <c r="B4" s="104" t="str">
        <f>IF(LEN(Markers!B2)&gt;0,Markers!B2,"")</f>
        <v>Kristyn Sergio</v>
      </c>
      <c r="C4" s="11"/>
      <c r="D4" s="11"/>
      <c r="E4" s="11" t="s">
        <v>253</v>
      </c>
      <c r="F4" s="11"/>
      <c r="G4" s="11" t="s">
        <v>253</v>
      </c>
      <c r="H4" s="11"/>
      <c r="I4" s="11"/>
      <c r="J4" s="11"/>
      <c r="K4" s="11" t="s">
        <v>253</v>
      </c>
      <c r="L4" s="11"/>
      <c r="M4" s="11" t="s">
        <v>253</v>
      </c>
      <c r="N4" s="105" t="str">
        <f>IF(OR(AND(C4&lt;&gt;"L",C4&lt;&gt;"M",C4&lt;&gt;"H"),AND(D4&lt;&gt;"L",D4&lt;&gt;"M",D4&lt;&gt;"H"),AND(E4&lt;&gt;"L",E4&lt;&gt;"M",E4&lt;&gt;"H"),AND(F4&lt;&gt;"L",F4&lt;&gt;"M",F4&lt;&gt;"H"),AND(G4&lt;&gt;"L",G4&lt;&gt;"M",G4&lt;&gt;"H"),AND(H4&lt;&gt;"L",H4&lt;&gt;"M",H4&lt;&gt;"H"),AND(I4&lt;&gt;"L",I4&lt;&gt;"M",I4&lt;&gt;"H"),AND(J4&lt;&gt;"L",J4&lt;&gt;"M",J4&lt;&gt;"H"),AND(K4&lt;&gt;"L",K4&lt;&gt;"M",K4&lt;&gt;"H"),AND(L4&lt;&gt;"L",L4&lt;&gt;"M",L4&lt;&gt;"H"),AND(M4&lt;&gt;"L",M4&lt;&gt;"M",M4&lt;&gt;"H")),"Enter L, M or H in each cell","")</f>
        <v>Enter L, M or H in each cell</v>
      </c>
      <c r="O4" s="111"/>
      <c r="P4" s="114">
        <f>A4</f>
        <v>1</v>
      </c>
      <c r="Q4" s="108" t="str">
        <f>IF(C4="","",IF(C4="L",1/3,IF(C4="M",2/3,1)))</f>
        <v/>
      </c>
      <c r="R4" s="108" t="str">
        <f t="shared" ref="R4:AA4" si="2">IF(D4="","",IF(D4="L",1/3,IF(D4="M",2/3,1)))</f>
        <v/>
      </c>
      <c r="S4" s="108">
        <f t="shared" si="2"/>
        <v>0.33333333333333331</v>
      </c>
      <c r="T4" s="108" t="str">
        <f t="shared" si="2"/>
        <v/>
      </c>
      <c r="U4" s="108">
        <f t="shared" si="2"/>
        <v>0.33333333333333331</v>
      </c>
      <c r="V4" s="108" t="str">
        <f t="shared" si="2"/>
        <v/>
      </c>
      <c r="W4" s="108" t="str">
        <f t="shared" si="2"/>
        <v/>
      </c>
      <c r="X4" s="108" t="str">
        <f t="shared" si="2"/>
        <v/>
      </c>
      <c r="Y4" s="108">
        <f t="shared" si="2"/>
        <v>0.33333333333333331</v>
      </c>
      <c r="Z4" s="108" t="str">
        <f t="shared" si="2"/>
        <v/>
      </c>
      <c r="AA4" s="108">
        <f t="shared" si="2"/>
        <v>0.33333333333333331</v>
      </c>
      <c r="AB4" s="113">
        <f>IF(COUNT(Q4:AA4)&gt;0,AVERAGE(Q4:AA4),"")</f>
        <v>0.33333333333333331</v>
      </c>
    </row>
    <row r="5" spans="1:28" x14ac:dyDescent="0.25">
      <c r="A5" s="61">
        <f>IF(Markers!B3&gt;0,Markers!A3,"")</f>
        <v>2</v>
      </c>
      <c r="B5" s="104" t="str">
        <f>IF(LEN(Markers!B3)&gt;0,Markers!B3,"")</f>
        <v>Chu Vanallen</v>
      </c>
      <c r="C5" s="11" t="s">
        <v>254</v>
      </c>
      <c r="D5" s="11" t="s">
        <v>253</v>
      </c>
      <c r="E5" s="11" t="s">
        <v>253</v>
      </c>
      <c r="F5" s="11"/>
      <c r="G5" s="11"/>
      <c r="H5" s="11"/>
      <c r="I5" s="11"/>
      <c r="J5" s="11"/>
      <c r="K5" s="11" t="s">
        <v>253</v>
      </c>
      <c r="L5" s="11"/>
      <c r="M5" s="11"/>
      <c r="N5" s="105" t="str">
        <f t="shared" ref="N5:N13" si="3">IF(OR(AND(C5&lt;&gt;"L",C5&lt;&gt;"M",C5&lt;&gt;"H"),AND(D5&lt;&gt;"L",D5&lt;&gt;"M",D5&lt;&gt;"H"),AND(E5&lt;&gt;"L",E5&lt;&gt;"M",E5&lt;&gt;"H"),AND(F5&lt;&gt;"L",F5&lt;&gt;"M",F5&lt;&gt;"H"),AND(G5&lt;&gt;"L",G5&lt;&gt;"M",G5&lt;&gt;"H"),AND(H5&lt;&gt;"L",H5&lt;&gt;"M",H5&lt;&gt;"H"),AND(I5&lt;&gt;"L",I5&lt;&gt;"M",I5&lt;&gt;"H"),AND(J5&lt;&gt;"L",J5&lt;&gt;"M",J5&lt;&gt;"H"),AND(K5&lt;&gt;"L",K5&lt;&gt;"M",K5&lt;&gt;"H"),AND(L5&lt;&gt;"L",L5&lt;&gt;"M",L5&lt;&gt;"H"),AND(M5&lt;&gt;"L",M5&lt;&gt;"M",M5&lt;&gt;"H")),"Enter L, M or H in each cell","")</f>
        <v>Enter L, M or H in each cell</v>
      </c>
      <c r="O5" s="111"/>
      <c r="P5" s="114">
        <f t="shared" ref="P5:P13" si="4">A5</f>
        <v>2</v>
      </c>
      <c r="Q5" s="108">
        <f t="shared" ref="Q5:Q13" si="5">IF(C5="","",IF(C5="L",1/3,IF(C5="M",2/3,1)))</f>
        <v>0.66666666666666663</v>
      </c>
      <c r="R5" s="108">
        <f t="shared" ref="R5:R13" si="6">IF(D5="","",IF(D5="L",1/3,IF(D5="M",2/3,1)))</f>
        <v>0.33333333333333331</v>
      </c>
      <c r="S5" s="108">
        <f t="shared" ref="S5:S13" si="7">IF(E5="","",IF(E5="L",1/3,IF(E5="M",2/3,1)))</f>
        <v>0.33333333333333331</v>
      </c>
      <c r="T5" s="108" t="str">
        <f t="shared" ref="T5:T13" si="8">IF(F5="","",IF(F5="L",1/3,IF(F5="M",2/3,1)))</f>
        <v/>
      </c>
      <c r="U5" s="108" t="str">
        <f t="shared" ref="U5:U13" si="9">IF(G5="","",IF(G5="L",1/3,IF(G5="M",2/3,1)))</f>
        <v/>
      </c>
      <c r="V5" s="108" t="str">
        <f t="shared" ref="V5:V13" si="10">IF(H5="","",IF(H5="L",1/3,IF(H5="M",2/3,1)))</f>
        <v/>
      </c>
      <c r="W5" s="108" t="str">
        <f t="shared" ref="W5:W13" si="11">IF(I5="","",IF(I5="L",1/3,IF(I5="M",2/3,1)))</f>
        <v/>
      </c>
      <c r="X5" s="108" t="str">
        <f t="shared" ref="X5:X13" si="12">IF(J5="","",IF(J5="L",1/3,IF(J5="M",2/3,1)))</f>
        <v/>
      </c>
      <c r="Y5" s="108">
        <f t="shared" ref="Y5:Y13" si="13">IF(K5="","",IF(K5="L",1/3,IF(K5="M",2/3,1)))</f>
        <v>0.33333333333333331</v>
      </c>
      <c r="Z5" s="108" t="str">
        <f t="shared" ref="Z5:Z13" si="14">IF(L5="","",IF(L5="L",1/3,IF(L5="M",2/3,1)))</f>
        <v/>
      </c>
      <c r="AA5" s="108" t="str">
        <f t="shared" ref="AA5:AA13" si="15">IF(M5="","",IF(M5="L",1/3,IF(M5="M",2/3,1)))</f>
        <v/>
      </c>
      <c r="AB5" s="113">
        <f t="shared" ref="AB5:AB13" si="16">IF(COUNT(Q5:AA5)&gt;0,AVERAGE(Q5:AA5),"")</f>
        <v>0.41666666666666663</v>
      </c>
    </row>
    <row r="6" spans="1:28" x14ac:dyDescent="0.25">
      <c r="A6" s="61">
        <f>IF(Markers!B4&gt;0,Markers!A4,"")</f>
        <v>3</v>
      </c>
      <c r="B6" s="104" t="str">
        <f>IF(LEN(Markers!B4)&gt;0,Markers!B4,"")</f>
        <v>Yetta Cisneros</v>
      </c>
      <c r="C6" s="11"/>
      <c r="D6" s="11" t="s">
        <v>253</v>
      </c>
      <c r="E6" s="11" t="s">
        <v>254</v>
      </c>
      <c r="F6" s="11" t="s">
        <v>253</v>
      </c>
      <c r="G6" s="11" t="s">
        <v>254</v>
      </c>
      <c r="H6" s="11" t="s">
        <v>255</v>
      </c>
      <c r="I6" s="11" t="s">
        <v>253</v>
      </c>
      <c r="J6" s="11"/>
      <c r="K6" s="11" t="s">
        <v>253</v>
      </c>
      <c r="L6" s="11"/>
      <c r="M6" s="11"/>
      <c r="N6" s="105" t="str">
        <f t="shared" si="3"/>
        <v>Enter L, M or H in each cell</v>
      </c>
      <c r="O6" s="111"/>
      <c r="P6" s="114">
        <f t="shared" si="4"/>
        <v>3</v>
      </c>
      <c r="Q6" s="108" t="str">
        <f t="shared" si="5"/>
        <v/>
      </c>
      <c r="R6" s="108">
        <f t="shared" si="6"/>
        <v>0.33333333333333331</v>
      </c>
      <c r="S6" s="108">
        <f t="shared" si="7"/>
        <v>0.66666666666666663</v>
      </c>
      <c r="T6" s="108">
        <f t="shared" si="8"/>
        <v>0.33333333333333331</v>
      </c>
      <c r="U6" s="108">
        <f t="shared" si="9"/>
        <v>0.66666666666666663</v>
      </c>
      <c r="V6" s="108">
        <f t="shared" si="10"/>
        <v>1</v>
      </c>
      <c r="W6" s="108">
        <f t="shared" si="11"/>
        <v>0.33333333333333331</v>
      </c>
      <c r="X6" s="108" t="str">
        <f t="shared" si="12"/>
        <v/>
      </c>
      <c r="Y6" s="108">
        <f t="shared" si="13"/>
        <v>0.33333333333333331</v>
      </c>
      <c r="Z6" s="108" t="str">
        <f t="shared" si="14"/>
        <v/>
      </c>
      <c r="AA6" s="108" t="str">
        <f t="shared" si="15"/>
        <v/>
      </c>
      <c r="AB6" s="113">
        <f t="shared" si="16"/>
        <v>0.52380952380952384</v>
      </c>
    </row>
    <row r="7" spans="1:28" x14ac:dyDescent="0.25">
      <c r="A7" s="61">
        <f>IF(Markers!B5&gt;0,Markers!A5,"")</f>
        <v>4</v>
      </c>
      <c r="B7" s="104" t="str">
        <f>IF(LEN(Markers!B5)&gt;0,Markers!B5,"")</f>
        <v>Henriette Wilford</v>
      </c>
      <c r="C7" s="11" t="s">
        <v>253</v>
      </c>
      <c r="D7" s="11" t="s">
        <v>253</v>
      </c>
      <c r="E7" s="11"/>
      <c r="F7" s="11"/>
      <c r="G7" s="11" t="s">
        <v>254</v>
      </c>
      <c r="H7" s="11"/>
      <c r="I7" s="11" t="s">
        <v>253</v>
      </c>
      <c r="J7" s="11" t="s">
        <v>253</v>
      </c>
      <c r="K7" s="11" t="s">
        <v>253</v>
      </c>
      <c r="L7" s="11" t="s">
        <v>253</v>
      </c>
      <c r="M7" s="11"/>
      <c r="N7" s="105" t="str">
        <f t="shared" si="3"/>
        <v>Enter L, M or H in each cell</v>
      </c>
      <c r="O7" s="111"/>
      <c r="P7" s="114">
        <f t="shared" si="4"/>
        <v>4</v>
      </c>
      <c r="Q7" s="108">
        <f t="shared" si="5"/>
        <v>0.33333333333333331</v>
      </c>
      <c r="R7" s="108">
        <f t="shared" si="6"/>
        <v>0.33333333333333331</v>
      </c>
      <c r="S7" s="108" t="str">
        <f t="shared" si="7"/>
        <v/>
      </c>
      <c r="T7" s="108" t="str">
        <f t="shared" si="8"/>
        <v/>
      </c>
      <c r="U7" s="108">
        <f t="shared" si="9"/>
        <v>0.66666666666666663</v>
      </c>
      <c r="V7" s="108" t="str">
        <f t="shared" si="10"/>
        <v/>
      </c>
      <c r="W7" s="108">
        <f t="shared" si="11"/>
        <v>0.33333333333333331</v>
      </c>
      <c r="X7" s="108">
        <f t="shared" si="12"/>
        <v>0.33333333333333331</v>
      </c>
      <c r="Y7" s="108">
        <f t="shared" si="13"/>
        <v>0.33333333333333331</v>
      </c>
      <c r="Z7" s="108">
        <f t="shared" si="14"/>
        <v>0.33333333333333331</v>
      </c>
      <c r="AA7" s="108" t="str">
        <f t="shared" si="15"/>
        <v/>
      </c>
      <c r="AB7" s="113">
        <f t="shared" si="16"/>
        <v>0.38095238095238093</v>
      </c>
    </row>
    <row r="8" spans="1:28" x14ac:dyDescent="0.25">
      <c r="A8" s="61">
        <f>IF(Markers!B6&gt;0,Markers!A6,"")</f>
        <v>5</v>
      </c>
      <c r="B8" s="104" t="str">
        <f>IF(LEN(Markers!B6)&gt;0,Markers!B6,"")</f>
        <v>Era Vandervoort</v>
      </c>
      <c r="C8" s="11"/>
      <c r="D8" s="11"/>
      <c r="E8" s="11" t="s">
        <v>253</v>
      </c>
      <c r="F8" s="11" t="s">
        <v>254</v>
      </c>
      <c r="G8" s="11"/>
      <c r="H8" s="11"/>
      <c r="I8" s="11" t="s">
        <v>254</v>
      </c>
      <c r="J8" s="11"/>
      <c r="K8" s="11" t="s">
        <v>253</v>
      </c>
      <c r="L8" s="11"/>
      <c r="M8" s="11"/>
      <c r="N8" s="105" t="str">
        <f t="shared" si="3"/>
        <v>Enter L, M or H in each cell</v>
      </c>
      <c r="O8" s="111"/>
      <c r="P8" s="114">
        <f t="shared" si="4"/>
        <v>5</v>
      </c>
      <c r="Q8" s="108" t="str">
        <f t="shared" si="5"/>
        <v/>
      </c>
      <c r="R8" s="108" t="str">
        <f t="shared" si="6"/>
        <v/>
      </c>
      <c r="S8" s="108">
        <f t="shared" si="7"/>
        <v>0.33333333333333331</v>
      </c>
      <c r="T8" s="108">
        <f t="shared" si="8"/>
        <v>0.66666666666666663</v>
      </c>
      <c r="U8" s="108" t="str">
        <f t="shared" si="9"/>
        <v/>
      </c>
      <c r="V8" s="108" t="str">
        <f t="shared" si="10"/>
        <v/>
      </c>
      <c r="W8" s="108">
        <f t="shared" si="11"/>
        <v>0.66666666666666663</v>
      </c>
      <c r="X8" s="108" t="str">
        <f t="shared" si="12"/>
        <v/>
      </c>
      <c r="Y8" s="108">
        <f t="shared" si="13"/>
        <v>0.33333333333333331</v>
      </c>
      <c r="Z8" s="108" t="str">
        <f t="shared" si="14"/>
        <v/>
      </c>
      <c r="AA8" s="108" t="str">
        <f t="shared" si="15"/>
        <v/>
      </c>
      <c r="AB8" s="113">
        <f t="shared" si="16"/>
        <v>0.49999999999999994</v>
      </c>
    </row>
    <row r="9" spans="1:28" x14ac:dyDescent="0.25">
      <c r="A9" s="61">
        <f>IF(Markers!B7&gt;0,Markers!A7,"")</f>
        <v>6</v>
      </c>
      <c r="B9" s="104" t="str">
        <f>IF(LEN(Markers!B7)&gt;0,Markers!B7,"")</f>
        <v>Elmer Seawood</v>
      </c>
      <c r="C9" s="11" t="s">
        <v>255</v>
      </c>
      <c r="D9" s="11" t="s">
        <v>253</v>
      </c>
      <c r="E9" s="11" t="s">
        <v>253</v>
      </c>
      <c r="F9" s="11"/>
      <c r="G9" s="11" t="s">
        <v>254</v>
      </c>
      <c r="H9" s="11"/>
      <c r="I9" s="11" t="s">
        <v>253</v>
      </c>
      <c r="J9" s="11" t="s">
        <v>253</v>
      </c>
      <c r="K9" s="11"/>
      <c r="L9" s="11" t="s">
        <v>254</v>
      </c>
      <c r="M9" s="11" t="s">
        <v>253</v>
      </c>
      <c r="N9" s="105" t="str">
        <f t="shared" si="3"/>
        <v>Enter L, M or H in each cell</v>
      </c>
      <c r="O9" s="111"/>
      <c r="P9" s="114">
        <f t="shared" si="4"/>
        <v>6</v>
      </c>
      <c r="Q9" s="108">
        <f t="shared" si="5"/>
        <v>1</v>
      </c>
      <c r="R9" s="108">
        <f t="shared" si="6"/>
        <v>0.33333333333333331</v>
      </c>
      <c r="S9" s="108">
        <f t="shared" si="7"/>
        <v>0.33333333333333331</v>
      </c>
      <c r="T9" s="108" t="str">
        <f t="shared" si="8"/>
        <v/>
      </c>
      <c r="U9" s="108">
        <f t="shared" si="9"/>
        <v>0.66666666666666663</v>
      </c>
      <c r="V9" s="108" t="str">
        <f t="shared" si="10"/>
        <v/>
      </c>
      <c r="W9" s="108">
        <f t="shared" si="11"/>
        <v>0.33333333333333331</v>
      </c>
      <c r="X9" s="108">
        <f t="shared" si="12"/>
        <v>0.33333333333333331</v>
      </c>
      <c r="Y9" s="108" t="str">
        <f t="shared" si="13"/>
        <v/>
      </c>
      <c r="Z9" s="108">
        <f t="shared" si="14"/>
        <v>0.66666666666666663</v>
      </c>
      <c r="AA9" s="108">
        <f t="shared" si="15"/>
        <v>0.33333333333333331</v>
      </c>
      <c r="AB9" s="113">
        <f t="shared" si="16"/>
        <v>0.5</v>
      </c>
    </row>
    <row r="10" spans="1:28" x14ac:dyDescent="0.25">
      <c r="A10" s="61">
        <f>IF(Markers!B8&gt;0,Markers!A8,"")</f>
        <v>7</v>
      </c>
      <c r="B10" s="104" t="str">
        <f>IF(LEN(Markers!B8)&gt;0,Markers!B8,"")</f>
        <v>Aldo Range</v>
      </c>
      <c r="C10" s="11" t="s">
        <v>253</v>
      </c>
      <c r="D10" s="11"/>
      <c r="E10" s="11"/>
      <c r="F10" s="11" t="s">
        <v>253</v>
      </c>
      <c r="G10" s="11" t="s">
        <v>253</v>
      </c>
      <c r="H10" s="11" t="s">
        <v>253</v>
      </c>
      <c r="I10" s="11" t="s">
        <v>253</v>
      </c>
      <c r="J10" s="11" t="s">
        <v>253</v>
      </c>
      <c r="K10" s="11"/>
      <c r="L10" s="11"/>
      <c r="M10" s="11"/>
      <c r="N10" s="105" t="str">
        <f t="shared" si="3"/>
        <v>Enter L, M or H in each cell</v>
      </c>
      <c r="O10" s="111"/>
      <c r="P10" s="114">
        <f t="shared" si="4"/>
        <v>7</v>
      </c>
      <c r="Q10" s="108">
        <f t="shared" si="5"/>
        <v>0.33333333333333331</v>
      </c>
      <c r="R10" s="108" t="str">
        <f t="shared" si="6"/>
        <v/>
      </c>
      <c r="S10" s="108" t="str">
        <f t="shared" si="7"/>
        <v/>
      </c>
      <c r="T10" s="108">
        <f t="shared" si="8"/>
        <v>0.33333333333333331</v>
      </c>
      <c r="U10" s="108">
        <f t="shared" si="9"/>
        <v>0.33333333333333331</v>
      </c>
      <c r="V10" s="108">
        <f t="shared" si="10"/>
        <v>0.33333333333333331</v>
      </c>
      <c r="W10" s="108">
        <f t="shared" si="11"/>
        <v>0.33333333333333331</v>
      </c>
      <c r="X10" s="108">
        <f t="shared" si="12"/>
        <v>0.33333333333333331</v>
      </c>
      <c r="Y10" s="108" t="str">
        <f t="shared" si="13"/>
        <v/>
      </c>
      <c r="Z10" s="108" t="str">
        <f t="shared" si="14"/>
        <v/>
      </c>
      <c r="AA10" s="108" t="str">
        <f t="shared" si="15"/>
        <v/>
      </c>
      <c r="AB10" s="113">
        <f t="shared" si="16"/>
        <v>0.33333333333333331</v>
      </c>
    </row>
    <row r="11" spans="1:28" x14ac:dyDescent="0.25">
      <c r="A11" s="61">
        <f>IF(Markers!B9&gt;0,Markers!A9,"")</f>
        <v>8</v>
      </c>
      <c r="B11" s="104" t="str">
        <f>IF(LEN(Markers!B9)&gt;0,Markers!B9,"")</f>
        <v>Dena Demas</v>
      </c>
      <c r="C11" s="11"/>
      <c r="D11" s="11" t="s">
        <v>253</v>
      </c>
      <c r="E11" s="11" t="s">
        <v>254</v>
      </c>
      <c r="F11" s="11"/>
      <c r="G11" s="11"/>
      <c r="H11" s="11" t="s">
        <v>254</v>
      </c>
      <c r="I11" s="11" t="s">
        <v>253</v>
      </c>
      <c r="J11" s="11"/>
      <c r="K11" s="11" t="s">
        <v>254</v>
      </c>
      <c r="L11" s="11"/>
      <c r="M11" s="11"/>
      <c r="N11" s="105" t="str">
        <f t="shared" si="3"/>
        <v>Enter L, M or H in each cell</v>
      </c>
      <c r="O11" s="111"/>
      <c r="P11" s="114">
        <f t="shared" si="4"/>
        <v>8</v>
      </c>
      <c r="Q11" s="108" t="str">
        <f t="shared" si="5"/>
        <v/>
      </c>
      <c r="R11" s="108">
        <f t="shared" si="6"/>
        <v>0.33333333333333331</v>
      </c>
      <c r="S11" s="108">
        <f t="shared" si="7"/>
        <v>0.66666666666666663</v>
      </c>
      <c r="T11" s="108" t="str">
        <f t="shared" si="8"/>
        <v/>
      </c>
      <c r="U11" s="108" t="str">
        <f t="shared" si="9"/>
        <v/>
      </c>
      <c r="V11" s="108">
        <f t="shared" si="10"/>
        <v>0.66666666666666663</v>
      </c>
      <c r="W11" s="108">
        <f t="shared" si="11"/>
        <v>0.33333333333333331</v>
      </c>
      <c r="X11" s="108" t="str">
        <f t="shared" si="12"/>
        <v/>
      </c>
      <c r="Y11" s="108">
        <f t="shared" si="13"/>
        <v>0.66666666666666663</v>
      </c>
      <c r="Z11" s="108" t="str">
        <f t="shared" si="14"/>
        <v/>
      </c>
      <c r="AA11" s="108" t="str">
        <f t="shared" si="15"/>
        <v/>
      </c>
      <c r="AB11" s="113">
        <f t="shared" si="16"/>
        <v>0.53333333333333333</v>
      </c>
    </row>
    <row r="12" spans="1:28" x14ac:dyDescent="0.25">
      <c r="A12" s="61">
        <f>IF(Markers!B10&gt;0,Markers!A10,"")</f>
        <v>9</v>
      </c>
      <c r="B12" s="104" t="str">
        <f>IF(LEN(Markers!B10)&gt;0,Markers!B10,"")</f>
        <v>Gerard Cutright</v>
      </c>
      <c r="C12" s="11" t="s">
        <v>254</v>
      </c>
      <c r="D12" s="11" t="s">
        <v>254</v>
      </c>
      <c r="E12" s="11" t="s">
        <v>254</v>
      </c>
      <c r="F12" s="11" t="s">
        <v>255</v>
      </c>
      <c r="G12" s="11"/>
      <c r="H12" s="11" t="s">
        <v>253</v>
      </c>
      <c r="I12" s="11" t="s">
        <v>253</v>
      </c>
      <c r="J12" s="11" t="s">
        <v>255</v>
      </c>
      <c r="K12" s="11" t="s">
        <v>253</v>
      </c>
      <c r="L12" s="11"/>
      <c r="M12" s="11" t="s">
        <v>254</v>
      </c>
      <c r="N12" s="105" t="str">
        <f t="shared" si="3"/>
        <v>Enter L, M or H in each cell</v>
      </c>
      <c r="O12" s="111"/>
      <c r="P12" s="114">
        <f t="shared" si="4"/>
        <v>9</v>
      </c>
      <c r="Q12" s="108">
        <f t="shared" si="5"/>
        <v>0.66666666666666663</v>
      </c>
      <c r="R12" s="108">
        <f t="shared" si="6"/>
        <v>0.66666666666666663</v>
      </c>
      <c r="S12" s="108">
        <f t="shared" si="7"/>
        <v>0.66666666666666663</v>
      </c>
      <c r="T12" s="108">
        <f t="shared" si="8"/>
        <v>1</v>
      </c>
      <c r="U12" s="108" t="str">
        <f t="shared" si="9"/>
        <v/>
      </c>
      <c r="V12" s="108">
        <f t="shared" si="10"/>
        <v>0.33333333333333331</v>
      </c>
      <c r="W12" s="108">
        <f t="shared" si="11"/>
        <v>0.33333333333333331</v>
      </c>
      <c r="X12" s="108">
        <f t="shared" si="12"/>
        <v>1</v>
      </c>
      <c r="Y12" s="108">
        <f t="shared" si="13"/>
        <v>0.33333333333333331</v>
      </c>
      <c r="Z12" s="108" t="str">
        <f t="shared" si="14"/>
        <v/>
      </c>
      <c r="AA12" s="108">
        <f t="shared" si="15"/>
        <v>0.66666666666666663</v>
      </c>
      <c r="AB12" s="113">
        <f t="shared" si="16"/>
        <v>0.62962962962962965</v>
      </c>
    </row>
    <row r="13" spans="1:28" x14ac:dyDescent="0.25">
      <c r="A13" s="61">
        <f>IF(Markers!B11&gt;0,Markers!A11,"")</f>
        <v>10</v>
      </c>
      <c r="B13" s="104" t="str">
        <f>IF(LEN(Markers!B11)&gt;0,Markers!B11,"")</f>
        <v>Rueben Dagenhart</v>
      </c>
      <c r="C13" s="11"/>
      <c r="D13" s="11"/>
      <c r="E13" s="11" t="s">
        <v>253</v>
      </c>
      <c r="F13" s="11"/>
      <c r="G13" s="11" t="s">
        <v>253</v>
      </c>
      <c r="H13" s="11" t="s">
        <v>254</v>
      </c>
      <c r="I13" s="11" t="s">
        <v>253</v>
      </c>
      <c r="J13" s="11" t="s">
        <v>254</v>
      </c>
      <c r="K13" s="11" t="s">
        <v>253</v>
      </c>
      <c r="L13" s="11" t="s">
        <v>253</v>
      </c>
      <c r="M13" s="11" t="s">
        <v>253</v>
      </c>
      <c r="N13" s="105" t="str">
        <f t="shared" si="3"/>
        <v>Enter L, M or H in each cell</v>
      </c>
      <c r="O13" s="111"/>
      <c r="P13" s="114">
        <f t="shared" si="4"/>
        <v>10</v>
      </c>
      <c r="Q13" s="108" t="str">
        <f t="shared" si="5"/>
        <v/>
      </c>
      <c r="R13" s="108" t="str">
        <f t="shared" si="6"/>
        <v/>
      </c>
      <c r="S13" s="108">
        <f t="shared" si="7"/>
        <v>0.33333333333333331</v>
      </c>
      <c r="T13" s="108" t="str">
        <f t="shared" si="8"/>
        <v/>
      </c>
      <c r="U13" s="108">
        <f t="shared" si="9"/>
        <v>0.33333333333333331</v>
      </c>
      <c r="V13" s="108">
        <f t="shared" si="10"/>
        <v>0.66666666666666663</v>
      </c>
      <c r="W13" s="108">
        <f t="shared" si="11"/>
        <v>0.33333333333333331</v>
      </c>
      <c r="X13" s="108">
        <f t="shared" si="12"/>
        <v>0.66666666666666663</v>
      </c>
      <c r="Y13" s="108">
        <f t="shared" si="13"/>
        <v>0.33333333333333331</v>
      </c>
      <c r="Z13" s="108">
        <f t="shared" si="14"/>
        <v>0.33333333333333331</v>
      </c>
      <c r="AA13" s="108">
        <f t="shared" si="15"/>
        <v>0.33333333333333331</v>
      </c>
      <c r="AB13" s="113">
        <f t="shared" si="16"/>
        <v>0.41666666666666669</v>
      </c>
    </row>
    <row r="14" spans="1:28" x14ac:dyDescent="0.25">
      <c r="D14" s="47"/>
    </row>
  </sheetData>
  <conditionalFormatting sqref="Q3:AA3">
    <cfRule type="dataBar" priority="11">
      <dataBar>
        <cfvo type="min"/>
        <cfvo type="max"/>
        <color rgb="FF63C384"/>
      </dataBar>
      <extLst>
        <ext xmlns:x14="http://schemas.microsoft.com/office/spreadsheetml/2009/9/main" uri="{B025F937-C7B1-47D3-B67F-A62EFF666E3E}">
          <x14:id>{3E4581DF-A4A4-40D5-8FB5-35619B76EE6E}</x14:id>
        </ext>
      </extLst>
    </cfRule>
  </conditionalFormatting>
  <conditionalFormatting sqref="Q4:AA13">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3E4581DF-A4A4-40D5-8FB5-35619B76EE6E}">
            <x14:dataBar minLength="0" maxLength="100" border="1" negativeBarBorderColorSameAsPositive="0">
              <x14:cfvo type="autoMin"/>
              <x14:cfvo type="autoMax"/>
              <x14:borderColor rgb="FF63C384"/>
              <x14:negativeFillColor rgb="FFFF0000"/>
              <x14:negativeBorderColor rgb="FFFF0000"/>
              <x14:axisColor rgb="FF000000"/>
            </x14:dataBar>
          </x14:cfRule>
          <xm:sqref>Q3:AA3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DF1CE-54EE-481A-82B0-245D22F494C0}">
  <sheetPr codeName="Sheet13">
    <tabColor theme="9" tint="0.79998168889431442"/>
  </sheetPr>
  <dimension ref="A1:N95"/>
  <sheetViews>
    <sheetView zoomScaleNormal="100" workbookViewId="0">
      <pane xSplit="3" ySplit="3" topLeftCell="D4" activePane="bottomRight" state="frozen"/>
      <selection activeCell="D23" sqref="D23"/>
      <selection pane="topRight" activeCell="D23" sqref="D23"/>
      <selection pane="bottomLeft" activeCell="D23" sqref="D23"/>
      <selection pane="bottomRight" activeCell="D1" sqref="D1:M1048576"/>
    </sheetView>
  </sheetViews>
  <sheetFormatPr defaultRowHeight="15" x14ac:dyDescent="0.25"/>
  <cols>
    <col min="1" max="1" width="9.140625" style="4"/>
    <col min="3" max="3" width="23.85546875" bestFit="1" customWidth="1"/>
    <col min="4" max="4" width="7.140625" customWidth="1"/>
    <col min="5" max="6" width="6.5703125" bestFit="1" customWidth="1"/>
    <col min="7" max="7" width="7.7109375" bestFit="1" customWidth="1"/>
    <col min="8" max="8" width="6.7109375" bestFit="1" customWidth="1"/>
    <col min="9" max="9" width="6.85546875" bestFit="1" customWidth="1"/>
    <col min="10" max="10" width="6.42578125" bestFit="1" customWidth="1"/>
    <col min="11" max="12" width="7" bestFit="1" customWidth="1"/>
    <col min="13" max="13" width="7.85546875" bestFit="1" customWidth="1"/>
    <col min="14" max="493" width="9.140625" customWidth="1"/>
  </cols>
  <sheetData>
    <row r="1" spans="1:14" x14ac:dyDescent="0.25">
      <c r="A1" s="16"/>
      <c r="B1" s="11"/>
      <c r="C1" s="115" t="s">
        <v>181</v>
      </c>
      <c r="D1" s="61">
        <v>1</v>
      </c>
      <c r="E1" s="61">
        <v>2</v>
      </c>
      <c r="F1" s="61">
        <v>3</v>
      </c>
      <c r="G1" s="61">
        <v>4</v>
      </c>
      <c r="H1" s="61">
        <v>5</v>
      </c>
      <c r="I1" s="61">
        <v>6</v>
      </c>
      <c r="J1" s="61">
        <v>7</v>
      </c>
      <c r="K1" s="61">
        <v>8</v>
      </c>
      <c r="L1" s="61">
        <v>9</v>
      </c>
      <c r="M1" s="61">
        <v>10</v>
      </c>
      <c r="N1" s="116"/>
    </row>
    <row r="2" spans="1:14" x14ac:dyDescent="0.25">
      <c r="A2" s="16"/>
      <c r="B2" s="11"/>
      <c r="C2" s="117" t="s">
        <v>232</v>
      </c>
      <c r="D2" s="118">
        <f t="shared" ref="D2:M2" si="0">IF(COUNTIF(D4:D28,"&gt;"&amp;0),AVERAGE(D4:D28),"")</f>
        <v>0.13200000000000003</v>
      </c>
      <c r="E2" s="118">
        <f t="shared" si="0"/>
        <v>0.12631578947368424</v>
      </c>
      <c r="F2" s="118">
        <f t="shared" si="0"/>
        <v>0.31600000000000011</v>
      </c>
      <c r="G2" s="118">
        <f t="shared" si="0"/>
        <v>0.25904761904761908</v>
      </c>
      <c r="H2" s="118">
        <f t="shared" si="0"/>
        <v>0.20000000000000007</v>
      </c>
      <c r="I2" s="118">
        <f t="shared" si="0"/>
        <v>0.34666666666666679</v>
      </c>
      <c r="J2" s="118">
        <f t="shared" si="0"/>
        <v>0.18727272727272737</v>
      </c>
      <c r="K2" s="118">
        <f t="shared" si="0"/>
        <v>0.22095238095238098</v>
      </c>
      <c r="L2" s="118">
        <f t="shared" si="0"/>
        <v>0.49714285714285711</v>
      </c>
      <c r="M2" s="118">
        <f t="shared" si="0"/>
        <v>0.30476190476190484</v>
      </c>
      <c r="N2" s="119"/>
    </row>
    <row r="3" spans="1:14" ht="49.5" customHeight="1" x14ac:dyDescent="0.25">
      <c r="A3" s="48" t="s">
        <v>69</v>
      </c>
      <c r="B3" s="11" t="s">
        <v>232</v>
      </c>
      <c r="C3" s="120" t="s">
        <v>233</v>
      </c>
      <c r="D3" s="121" t="str">
        <f>VLOOKUP(D1,Markers!$A:$B,2,FALSE)</f>
        <v>Kristyn Sergio</v>
      </c>
      <c r="E3" s="121" t="str">
        <f>VLOOKUP(E1,Markers!$A:$B,2,FALSE)</f>
        <v>Chu Vanallen</v>
      </c>
      <c r="F3" s="121" t="str">
        <f>VLOOKUP(F1,Markers!$A:$B,2,FALSE)</f>
        <v>Yetta Cisneros</v>
      </c>
      <c r="G3" s="121" t="str">
        <f>VLOOKUP(G1,Markers!$A:$B,2,FALSE)</f>
        <v>Henriette Wilford</v>
      </c>
      <c r="H3" s="121" t="str">
        <f>VLOOKUP(H1,Markers!$A:$B,2,FALSE)</f>
        <v>Era Vandervoort</v>
      </c>
      <c r="I3" s="121" t="str">
        <f>VLOOKUP(I1,Markers!$A:$B,2,FALSE)</f>
        <v>Elmer Seawood</v>
      </c>
      <c r="J3" s="121" t="str">
        <f>VLOOKUP(J1,Markers!$A:$B,2,FALSE)</f>
        <v>Aldo Range</v>
      </c>
      <c r="K3" s="121" t="str">
        <f>VLOOKUP(K1,Markers!$A:$B,2,FALSE)</f>
        <v>Dena Demas</v>
      </c>
      <c r="L3" s="121" t="str">
        <f>VLOOKUP(L1,Markers!$A:$B,2,FALSE)</f>
        <v>Gerard Cutright</v>
      </c>
      <c r="M3" s="121" t="str">
        <f>VLOOKUP(M1,Markers!$A:$B,2,FALSE)</f>
        <v>Rueben Dagenhart</v>
      </c>
      <c r="N3" s="119"/>
    </row>
    <row r="4" spans="1:14" x14ac:dyDescent="0.25">
      <c r="A4" s="51">
        <v>1</v>
      </c>
      <c r="B4" s="118">
        <f>IF(COUNTIF(D4:M4,"&gt;"&amp;0),AVERAGE(D4:M4),"")</f>
        <v>0.36</v>
      </c>
      <c r="C4" s="122" t="str">
        <f>VLOOKUP(A4,Projects!A:B,2,FALSE)</f>
        <v>Project 1</v>
      </c>
      <c r="D4" s="123" t="s">
        <v>238</v>
      </c>
      <c r="E4" s="123">
        <v>0.24000000000000005</v>
      </c>
      <c r="F4" s="123">
        <v>0.32</v>
      </c>
      <c r="G4" s="123">
        <v>0.32</v>
      </c>
      <c r="H4" s="123">
        <v>0.08</v>
      </c>
      <c r="I4" s="123">
        <v>0.52</v>
      </c>
      <c r="J4" s="123">
        <v>0.27999999999999997</v>
      </c>
      <c r="K4" s="123">
        <v>0.24</v>
      </c>
      <c r="L4" s="123">
        <v>0.76</v>
      </c>
      <c r="M4" s="123">
        <v>0.48000000000000009</v>
      </c>
      <c r="N4" s="12"/>
    </row>
    <row r="5" spans="1:14" x14ac:dyDescent="0.25">
      <c r="A5" s="51">
        <v>2</v>
      </c>
      <c r="B5" s="118">
        <f t="shared" ref="B5:B28" si="1">IF(COUNTIF(D5:M5,"&gt;"&amp;0),AVERAGE(D5:M5),"")</f>
        <v>0.26222222222222219</v>
      </c>
      <c r="C5" s="122" t="str">
        <f>VLOOKUP(A5,Projects!A:B,2,FALSE)</f>
        <v>Project 2</v>
      </c>
      <c r="D5" s="123">
        <v>0.12</v>
      </c>
      <c r="E5" s="123" t="s">
        <v>238</v>
      </c>
      <c r="F5" s="123">
        <v>0.12</v>
      </c>
      <c r="G5" s="123">
        <v>0.28000000000000003</v>
      </c>
      <c r="H5" s="123">
        <v>0.16</v>
      </c>
      <c r="I5" s="123">
        <v>0.4</v>
      </c>
      <c r="J5" s="123">
        <v>0.16</v>
      </c>
      <c r="K5" s="123">
        <v>0.16</v>
      </c>
      <c r="L5" s="123">
        <v>0.60000000000000009</v>
      </c>
      <c r="M5" s="123">
        <v>0.36</v>
      </c>
    </row>
    <row r="6" spans="1:14" x14ac:dyDescent="0.25">
      <c r="A6" s="51">
        <v>3</v>
      </c>
      <c r="B6" s="118">
        <f t="shared" si="1"/>
        <v>0.20444444444444446</v>
      </c>
      <c r="C6" s="122" t="str">
        <f>VLOOKUP(A6,Projects!A:B,2,FALSE)</f>
        <v>Project 3</v>
      </c>
      <c r="D6" s="123">
        <v>0.08</v>
      </c>
      <c r="E6" s="123">
        <v>0.04</v>
      </c>
      <c r="F6" s="123" t="s">
        <v>238</v>
      </c>
      <c r="G6" s="123">
        <v>0.16</v>
      </c>
      <c r="H6" s="123">
        <v>0.2</v>
      </c>
      <c r="I6" s="123">
        <v>0.24</v>
      </c>
      <c r="J6" s="123">
        <v>0.2</v>
      </c>
      <c r="K6" s="123">
        <v>0.27999999999999997</v>
      </c>
      <c r="L6" s="123">
        <v>0.32</v>
      </c>
      <c r="M6" s="123">
        <v>0.32</v>
      </c>
    </row>
    <row r="7" spans="1:14" x14ac:dyDescent="0.25">
      <c r="A7" s="51">
        <v>4</v>
      </c>
      <c r="B7" s="118">
        <f t="shared" si="1"/>
        <v>0.23555555555555557</v>
      </c>
      <c r="C7" s="122" t="str">
        <f>VLOOKUP(A7,Projects!A:B,2,FALSE)</f>
        <v>Project 4</v>
      </c>
      <c r="D7" s="123">
        <v>0.08</v>
      </c>
      <c r="E7" s="123">
        <v>0.2</v>
      </c>
      <c r="F7" s="123">
        <v>0.32</v>
      </c>
      <c r="G7" s="123" t="s">
        <v>238</v>
      </c>
      <c r="H7" s="123">
        <v>0.2</v>
      </c>
      <c r="I7" s="123">
        <v>0.36</v>
      </c>
      <c r="J7" s="123">
        <v>0.16</v>
      </c>
      <c r="K7" s="123">
        <v>0.2</v>
      </c>
      <c r="L7" s="123">
        <v>0.48</v>
      </c>
      <c r="M7" s="123">
        <v>0.12</v>
      </c>
    </row>
    <row r="8" spans="1:14" x14ac:dyDescent="0.25">
      <c r="A8" s="51">
        <v>5</v>
      </c>
      <c r="B8" s="118">
        <f t="shared" si="1"/>
        <v>0.29333333333333333</v>
      </c>
      <c r="C8" s="122" t="str">
        <f>VLOOKUP(A8,Projects!A:B,2,FALSE)</f>
        <v>Project 5</v>
      </c>
      <c r="D8" s="123">
        <v>0.08</v>
      </c>
      <c r="E8" s="123">
        <v>0.16</v>
      </c>
      <c r="F8" s="123">
        <v>0.44000000000000006</v>
      </c>
      <c r="G8" s="123">
        <v>0.28000000000000003</v>
      </c>
      <c r="H8" s="123" t="s">
        <v>238</v>
      </c>
      <c r="I8" s="123">
        <v>0.32</v>
      </c>
      <c r="J8" s="123">
        <v>0.24000000000000005</v>
      </c>
      <c r="K8" s="123">
        <v>0.32</v>
      </c>
      <c r="L8" s="123">
        <v>0.43999999999999995</v>
      </c>
      <c r="M8" s="123">
        <v>0.36</v>
      </c>
    </row>
    <row r="9" spans="1:14" x14ac:dyDescent="0.25">
      <c r="A9" s="51">
        <v>6</v>
      </c>
      <c r="B9" s="118">
        <f t="shared" si="1"/>
        <v>0.24888888888888891</v>
      </c>
      <c r="C9" s="122" t="str">
        <f>VLOOKUP(A9,Projects!A:B,2,FALSE)</f>
        <v>Project 6</v>
      </c>
      <c r="D9" s="123">
        <v>0.2</v>
      </c>
      <c r="E9" s="123">
        <v>0.12</v>
      </c>
      <c r="F9" s="123">
        <v>0.36</v>
      </c>
      <c r="G9" s="123">
        <v>0.16</v>
      </c>
      <c r="H9" s="123">
        <v>0.24</v>
      </c>
      <c r="I9" s="123" t="s">
        <v>238</v>
      </c>
      <c r="J9" s="123">
        <v>0.12</v>
      </c>
      <c r="K9" s="123">
        <v>0.24000000000000005</v>
      </c>
      <c r="L9" s="123">
        <v>0.56000000000000005</v>
      </c>
      <c r="M9" s="123">
        <v>0.24</v>
      </c>
    </row>
    <row r="10" spans="1:14" x14ac:dyDescent="0.25">
      <c r="A10" s="51">
        <v>7</v>
      </c>
      <c r="B10" s="118">
        <f t="shared" si="1"/>
        <v>0.12000000000000002</v>
      </c>
      <c r="C10" s="122" t="str">
        <f>VLOOKUP(A10,Projects!A:B,2,FALSE)</f>
        <v>Project 7</v>
      </c>
      <c r="D10" s="123">
        <v>0.04</v>
      </c>
      <c r="E10" s="123">
        <v>0.08</v>
      </c>
      <c r="F10" s="123">
        <v>0.16</v>
      </c>
      <c r="G10" s="123">
        <v>0.08</v>
      </c>
      <c r="H10" s="123">
        <v>0.2</v>
      </c>
      <c r="I10" s="123">
        <v>0.04</v>
      </c>
      <c r="J10" s="123">
        <v>0.08</v>
      </c>
      <c r="K10" s="123">
        <v>0.12</v>
      </c>
      <c r="L10" s="123">
        <v>0.36</v>
      </c>
      <c r="M10" s="123">
        <v>0.04</v>
      </c>
    </row>
    <row r="11" spans="1:14" x14ac:dyDescent="0.25">
      <c r="A11" s="51">
        <v>8</v>
      </c>
      <c r="B11" s="118">
        <f t="shared" si="1"/>
        <v>0.32888888888888895</v>
      </c>
      <c r="C11" s="122" t="str">
        <f>VLOOKUP(A11,Projects!A:B,2,FALSE)</f>
        <v>Project 8</v>
      </c>
      <c r="D11" s="123">
        <v>0.12</v>
      </c>
      <c r="E11" s="123">
        <v>0.04</v>
      </c>
      <c r="F11" s="123">
        <v>0.48000000000000009</v>
      </c>
      <c r="G11" s="123">
        <v>0.32</v>
      </c>
      <c r="H11" s="123">
        <v>0.24</v>
      </c>
      <c r="I11" s="123">
        <v>0.52000000000000013</v>
      </c>
      <c r="J11" s="123">
        <v>0.24</v>
      </c>
      <c r="K11" s="123" t="s">
        <v>238</v>
      </c>
      <c r="L11" s="123">
        <v>0.52</v>
      </c>
      <c r="M11" s="123">
        <v>0.48000000000000009</v>
      </c>
    </row>
    <row r="12" spans="1:14" x14ac:dyDescent="0.25">
      <c r="A12" s="51">
        <v>9</v>
      </c>
      <c r="B12" s="118">
        <f t="shared" si="1"/>
        <v>0.19111111111111112</v>
      </c>
      <c r="C12" s="122" t="str">
        <f>VLOOKUP(A12,Projects!A:B,2,FALSE)</f>
        <v>Project 9</v>
      </c>
      <c r="D12" s="123">
        <v>0.08</v>
      </c>
      <c r="E12" s="123">
        <v>0.08</v>
      </c>
      <c r="F12" s="123">
        <v>0.28000000000000003</v>
      </c>
      <c r="G12" s="123">
        <v>0.24000000000000005</v>
      </c>
      <c r="H12" s="123">
        <v>0.27999999999999997</v>
      </c>
      <c r="I12" s="123">
        <v>0.2</v>
      </c>
      <c r="J12" s="123">
        <v>0.2</v>
      </c>
      <c r="K12" s="123">
        <v>0.16</v>
      </c>
      <c r="L12" s="123" t="s">
        <v>238</v>
      </c>
      <c r="M12" s="123">
        <v>0.2</v>
      </c>
    </row>
    <row r="13" spans="1:14" x14ac:dyDescent="0.25">
      <c r="A13" s="51">
        <v>10</v>
      </c>
      <c r="B13" s="118">
        <f t="shared" si="1"/>
        <v>0.10666666666666667</v>
      </c>
      <c r="C13" s="122" t="str">
        <f>VLOOKUP(A13,Projects!A:B,2,FALSE)</f>
        <v>Project 10</v>
      </c>
      <c r="D13" s="123">
        <v>0.08</v>
      </c>
      <c r="E13" s="123">
        <v>0.04</v>
      </c>
      <c r="F13" s="123">
        <v>0.04</v>
      </c>
      <c r="G13" s="123">
        <v>0.16</v>
      </c>
      <c r="H13" s="123">
        <v>0.04</v>
      </c>
      <c r="I13" s="123">
        <v>0.24000000000000005</v>
      </c>
      <c r="J13" s="123">
        <v>0.04</v>
      </c>
      <c r="K13" s="123">
        <v>0.08</v>
      </c>
      <c r="L13" s="123">
        <v>0.24</v>
      </c>
      <c r="M13" s="123" t="s">
        <v>238</v>
      </c>
    </row>
    <row r="14" spans="1:14" x14ac:dyDescent="0.25">
      <c r="A14" s="51">
        <v>11</v>
      </c>
      <c r="B14" s="118">
        <f t="shared" si="1"/>
        <v>0.16</v>
      </c>
      <c r="C14" s="122" t="str">
        <f>VLOOKUP(A14,Projects!A:B,2,FALSE)</f>
        <v>Project 11</v>
      </c>
      <c r="D14" s="123" t="s">
        <v>238</v>
      </c>
      <c r="E14" s="123">
        <v>0.16</v>
      </c>
      <c r="F14" s="123">
        <v>0.16</v>
      </c>
      <c r="G14" s="123">
        <v>0.24000000000000005</v>
      </c>
      <c r="H14" s="123">
        <v>0.04</v>
      </c>
      <c r="I14" s="123">
        <v>0.32</v>
      </c>
      <c r="J14" s="123">
        <v>0.08</v>
      </c>
      <c r="K14" s="123">
        <v>0.12</v>
      </c>
      <c r="L14" s="123">
        <v>0.2</v>
      </c>
      <c r="M14" s="123">
        <v>0.12</v>
      </c>
    </row>
    <row r="15" spans="1:14" x14ac:dyDescent="0.25">
      <c r="A15" s="51">
        <v>12</v>
      </c>
      <c r="B15" s="118">
        <f t="shared" si="1"/>
        <v>0.29333333333333328</v>
      </c>
      <c r="C15" s="122" t="str">
        <f>VLOOKUP(A15,Projects!A:B,2,FALSE)</f>
        <v>Project 12</v>
      </c>
      <c r="D15" s="123">
        <v>0.12</v>
      </c>
      <c r="E15" s="123" t="s">
        <v>238</v>
      </c>
      <c r="F15" s="123">
        <v>0.44000000000000006</v>
      </c>
      <c r="G15" s="123">
        <v>0.32</v>
      </c>
      <c r="H15" s="123">
        <v>0.24</v>
      </c>
      <c r="I15" s="123">
        <v>0.28000000000000003</v>
      </c>
      <c r="J15" s="123">
        <v>0.16</v>
      </c>
      <c r="K15" s="123">
        <v>0.36</v>
      </c>
      <c r="L15" s="123">
        <v>0.44000000000000006</v>
      </c>
      <c r="M15" s="123">
        <v>0.27999999999999997</v>
      </c>
    </row>
    <row r="16" spans="1:14" x14ac:dyDescent="0.25">
      <c r="A16" s="51">
        <v>13</v>
      </c>
      <c r="B16" s="118">
        <f t="shared" si="1"/>
        <v>0.34222222222222221</v>
      </c>
      <c r="C16" s="122" t="str">
        <f>VLOOKUP(A16,Projects!A:B,2,FALSE)</f>
        <v>Project 13</v>
      </c>
      <c r="D16" s="123">
        <v>0.12</v>
      </c>
      <c r="E16" s="123">
        <v>0.28000000000000003</v>
      </c>
      <c r="F16" s="123" t="s">
        <v>238</v>
      </c>
      <c r="G16" s="123">
        <v>0.24</v>
      </c>
      <c r="H16" s="123">
        <v>0.24</v>
      </c>
      <c r="I16" s="123">
        <v>0.36</v>
      </c>
      <c r="J16" s="123">
        <v>0.27999999999999997</v>
      </c>
      <c r="K16" s="123">
        <v>0.36</v>
      </c>
      <c r="L16" s="123">
        <v>0.84</v>
      </c>
      <c r="M16" s="123">
        <v>0.36</v>
      </c>
    </row>
    <row r="17" spans="1:13" x14ac:dyDescent="0.25">
      <c r="A17" s="51">
        <v>14</v>
      </c>
      <c r="B17" s="118">
        <f t="shared" si="1"/>
        <v>0.3</v>
      </c>
      <c r="C17" s="122" t="str">
        <f>VLOOKUP(A17,Projects!A:B,2,FALSE)</f>
        <v>Project 14</v>
      </c>
      <c r="D17" s="123">
        <v>0.2</v>
      </c>
      <c r="E17" s="123"/>
      <c r="F17" s="123">
        <v>0.32</v>
      </c>
      <c r="G17" s="123" t="s">
        <v>238</v>
      </c>
      <c r="H17" s="123">
        <v>0.08</v>
      </c>
      <c r="I17" s="123">
        <v>0.4</v>
      </c>
      <c r="J17" s="123">
        <v>0.24</v>
      </c>
      <c r="K17" s="123">
        <v>0.12</v>
      </c>
      <c r="L17" s="123">
        <v>0.55999999999999994</v>
      </c>
      <c r="M17" s="123">
        <v>0.48</v>
      </c>
    </row>
    <row r="18" spans="1:13" x14ac:dyDescent="0.25">
      <c r="A18" s="51">
        <v>15</v>
      </c>
      <c r="B18" s="118">
        <f t="shared" si="1"/>
        <v>0.252</v>
      </c>
      <c r="C18" s="122" t="str">
        <f>VLOOKUP(A18,Projects!A:B,2,FALSE)</f>
        <v>Project 15</v>
      </c>
      <c r="D18" s="123">
        <v>0.16</v>
      </c>
      <c r="E18" s="123">
        <v>0.2</v>
      </c>
      <c r="F18" s="123">
        <v>0.4</v>
      </c>
      <c r="G18" s="123">
        <v>0.24</v>
      </c>
      <c r="H18" s="123">
        <v>0.16</v>
      </c>
      <c r="I18" s="123">
        <v>0.4</v>
      </c>
      <c r="J18" s="123">
        <v>0.16</v>
      </c>
      <c r="K18" s="123">
        <v>0.2</v>
      </c>
      <c r="L18" s="123">
        <v>0.43999999999999995</v>
      </c>
      <c r="M18" s="123">
        <v>0.16</v>
      </c>
    </row>
    <row r="19" spans="1:13" x14ac:dyDescent="0.25">
      <c r="A19" s="51">
        <v>16</v>
      </c>
      <c r="B19" s="118">
        <f t="shared" si="1"/>
        <v>0.26666666666666666</v>
      </c>
      <c r="C19" s="122" t="str">
        <f>VLOOKUP(A19,Projects!A:B,2,FALSE)</f>
        <v>Project 16</v>
      </c>
      <c r="D19" s="123">
        <v>0.12</v>
      </c>
      <c r="E19" s="123">
        <v>0.04</v>
      </c>
      <c r="F19" s="123">
        <v>0.32</v>
      </c>
      <c r="G19" s="123">
        <v>0.28000000000000003</v>
      </c>
      <c r="H19" s="123">
        <v>0.2</v>
      </c>
      <c r="I19" s="123" t="s">
        <v>238</v>
      </c>
      <c r="J19" s="123">
        <v>0.24</v>
      </c>
      <c r="K19" s="123">
        <v>0.2</v>
      </c>
      <c r="L19" s="123">
        <v>0.56000000000000005</v>
      </c>
      <c r="M19" s="123">
        <v>0.44000000000000006</v>
      </c>
    </row>
    <row r="20" spans="1:13" x14ac:dyDescent="0.25">
      <c r="A20" s="51">
        <v>17</v>
      </c>
      <c r="B20" s="118">
        <f t="shared" si="1"/>
        <v>0.24000000000000002</v>
      </c>
      <c r="C20" s="122" t="str">
        <f>VLOOKUP(A20,Projects!A:B,2,FALSE)</f>
        <v>Project 17</v>
      </c>
      <c r="D20" s="123">
        <v>0.2</v>
      </c>
      <c r="E20" s="123">
        <v>0.04</v>
      </c>
      <c r="F20" s="123">
        <v>0.36</v>
      </c>
      <c r="G20" s="123">
        <v>0.32</v>
      </c>
      <c r="H20" s="123">
        <v>0.2</v>
      </c>
      <c r="I20" s="123">
        <v>0.36</v>
      </c>
      <c r="J20" s="123" t="s">
        <v>238</v>
      </c>
      <c r="K20" s="123">
        <v>0.08</v>
      </c>
      <c r="L20" s="123">
        <v>0.36</v>
      </c>
      <c r="M20" s="123">
        <v>0.24000000000000005</v>
      </c>
    </row>
    <row r="21" spans="1:13" x14ac:dyDescent="0.25">
      <c r="A21" s="51">
        <v>18</v>
      </c>
      <c r="B21" s="118">
        <f t="shared" si="1"/>
        <v>0.23555555555555557</v>
      </c>
      <c r="C21" s="122" t="str">
        <f>VLOOKUP(A21,Projects!A:B,2,FALSE)</f>
        <v>Project 18</v>
      </c>
      <c r="D21" s="123">
        <v>0.12</v>
      </c>
      <c r="E21" s="123">
        <v>0.12</v>
      </c>
      <c r="F21" s="123">
        <v>0.36</v>
      </c>
      <c r="G21" s="123">
        <v>0.16</v>
      </c>
      <c r="H21" s="123">
        <v>0.24000000000000005</v>
      </c>
      <c r="I21" s="123">
        <v>0.24000000000000005</v>
      </c>
      <c r="J21" s="123">
        <v>0.12</v>
      </c>
      <c r="K21" s="123" t="s">
        <v>238</v>
      </c>
      <c r="L21" s="123">
        <v>0.48000000000000009</v>
      </c>
      <c r="M21" s="123">
        <v>0.28000000000000003</v>
      </c>
    </row>
    <row r="22" spans="1:13" x14ac:dyDescent="0.25">
      <c r="A22" s="51">
        <v>19</v>
      </c>
      <c r="B22" s="118">
        <f t="shared" si="1"/>
        <v>0.27555555555555555</v>
      </c>
      <c r="C22" s="122" t="str">
        <f>VLOOKUP(A22,Projects!A:B,2,FALSE)</f>
        <v>Project 19</v>
      </c>
      <c r="D22" s="123">
        <v>0.16</v>
      </c>
      <c r="E22" s="123">
        <v>0.08</v>
      </c>
      <c r="F22" s="123">
        <v>0.4</v>
      </c>
      <c r="G22" s="123">
        <v>0.36</v>
      </c>
      <c r="H22" s="123">
        <v>0.4</v>
      </c>
      <c r="I22" s="123">
        <v>0.32</v>
      </c>
      <c r="J22" s="123">
        <v>0.24</v>
      </c>
      <c r="K22" s="123">
        <v>0.24</v>
      </c>
      <c r="L22" s="123" t="s">
        <v>238</v>
      </c>
      <c r="M22" s="123">
        <v>0.27999999999999997</v>
      </c>
    </row>
    <row r="23" spans="1:13" x14ac:dyDescent="0.25">
      <c r="A23" s="51">
        <v>20</v>
      </c>
      <c r="B23" s="118">
        <f t="shared" si="1"/>
        <v>0.29333333333333328</v>
      </c>
      <c r="C23" s="122" t="str">
        <f>VLOOKUP(A23,Projects!A:B,2,FALSE)</f>
        <v>Project 20</v>
      </c>
      <c r="D23" s="123">
        <v>0.16</v>
      </c>
      <c r="E23" s="123">
        <v>0.16</v>
      </c>
      <c r="F23" s="123">
        <v>0.36</v>
      </c>
      <c r="G23" s="123">
        <v>0.4</v>
      </c>
      <c r="H23" s="123">
        <v>0.28000000000000003</v>
      </c>
      <c r="I23" s="123">
        <v>0.48</v>
      </c>
      <c r="J23" s="123">
        <v>0.12</v>
      </c>
      <c r="K23" s="123">
        <v>0.36</v>
      </c>
      <c r="L23" s="123">
        <v>0.32</v>
      </c>
      <c r="M23" s="123" t="s">
        <v>238</v>
      </c>
    </row>
    <row r="24" spans="1:13" x14ac:dyDescent="0.25">
      <c r="A24" s="51">
        <v>21</v>
      </c>
      <c r="B24" s="118">
        <f t="shared" si="1"/>
        <v>0.26666666666666672</v>
      </c>
      <c r="C24" s="122" t="str">
        <f>VLOOKUP(A24,Projects!A:B,2,FALSE)</f>
        <v>Project 21</v>
      </c>
      <c r="D24" s="123" t="s">
        <v>238</v>
      </c>
      <c r="E24" s="123">
        <v>0.08</v>
      </c>
      <c r="F24" s="123">
        <v>0.36</v>
      </c>
      <c r="G24" s="123">
        <v>0.16</v>
      </c>
      <c r="H24" s="123">
        <v>0.32</v>
      </c>
      <c r="I24" s="123">
        <v>0.28000000000000003</v>
      </c>
      <c r="J24" s="123">
        <v>0.28000000000000003</v>
      </c>
      <c r="K24" s="123">
        <v>0.12</v>
      </c>
      <c r="L24" s="123">
        <v>0.60000000000000009</v>
      </c>
      <c r="M24" s="123">
        <v>0.2</v>
      </c>
    </row>
    <row r="25" spans="1:13" x14ac:dyDescent="0.25">
      <c r="A25" s="51">
        <v>22</v>
      </c>
      <c r="B25" s="118">
        <f t="shared" si="1"/>
        <v>0.22666666666666668</v>
      </c>
      <c r="C25" s="122" t="str">
        <f>VLOOKUP(A25,Projects!A:B,2,FALSE)</f>
        <v>Project 22</v>
      </c>
      <c r="D25" s="123">
        <v>0.16</v>
      </c>
      <c r="E25" s="123" t="s">
        <v>238</v>
      </c>
      <c r="F25" s="123">
        <v>0.32</v>
      </c>
      <c r="G25" s="123">
        <v>0.2</v>
      </c>
      <c r="H25" s="123">
        <v>0.12</v>
      </c>
      <c r="I25" s="123">
        <v>0.24</v>
      </c>
      <c r="J25" s="123">
        <v>0.12</v>
      </c>
      <c r="K25" s="123">
        <v>0.24</v>
      </c>
      <c r="L25" s="123">
        <v>0.36</v>
      </c>
      <c r="M25" s="123">
        <v>0.28000000000000003</v>
      </c>
    </row>
    <row r="26" spans="1:13" x14ac:dyDescent="0.25">
      <c r="A26" s="51">
        <v>23</v>
      </c>
      <c r="B26" s="118">
        <f t="shared" si="1"/>
        <v>0.49777777777777771</v>
      </c>
      <c r="C26" s="122" t="str">
        <f>VLOOKUP(A26,Projects!A:B,2,FALSE)</f>
        <v>Project 23</v>
      </c>
      <c r="D26" s="123">
        <v>0.24</v>
      </c>
      <c r="E26" s="123">
        <v>0.24000000000000005</v>
      </c>
      <c r="F26" s="123" t="s">
        <v>238</v>
      </c>
      <c r="G26" s="123">
        <v>0.52000000000000013</v>
      </c>
      <c r="H26" s="123">
        <v>0.24000000000000005</v>
      </c>
      <c r="I26" s="123">
        <v>0.76</v>
      </c>
      <c r="J26" s="123">
        <v>0.36</v>
      </c>
      <c r="K26" s="123">
        <v>0.44000000000000006</v>
      </c>
      <c r="L26" s="123">
        <v>1</v>
      </c>
      <c r="M26" s="123">
        <v>0.68</v>
      </c>
    </row>
    <row r="27" spans="1:13" x14ac:dyDescent="0.25">
      <c r="A27" s="51">
        <v>24</v>
      </c>
      <c r="B27" s="118" t="str">
        <f t="shared" si="1"/>
        <v/>
      </c>
      <c r="C27" s="122" t="str">
        <f>VLOOKUP(A27,Projects!A:B,2,FALSE)</f>
        <v>Project 24</v>
      </c>
      <c r="D27" s="123"/>
      <c r="E27" s="123"/>
      <c r="F27" s="123"/>
      <c r="G27" s="123" t="s">
        <v>238</v>
      </c>
      <c r="H27" s="123"/>
      <c r="I27" s="123"/>
      <c r="J27" s="123"/>
      <c r="K27" s="123"/>
      <c r="L27" s="123"/>
      <c r="M27" s="123"/>
    </row>
    <row r="28" spans="1:13" x14ac:dyDescent="0.25">
      <c r="A28" s="51">
        <v>25</v>
      </c>
      <c r="B28" s="118" t="str">
        <f t="shared" si="1"/>
        <v/>
      </c>
      <c r="C28" s="122" t="str">
        <f>VLOOKUP(A28,Projects!A:B,2,FALSE)</f>
        <v>Project 25</v>
      </c>
      <c r="D28" s="123"/>
      <c r="E28" s="123"/>
      <c r="F28" s="123"/>
      <c r="G28" s="123"/>
      <c r="H28" s="123" t="s">
        <v>238</v>
      </c>
      <c r="I28" s="123"/>
      <c r="J28" s="123"/>
      <c r="K28" s="123"/>
      <c r="L28" s="123"/>
      <c r="M28" s="123"/>
    </row>
    <row r="29" spans="1:13" x14ac:dyDescent="0.25">
      <c r="A29" s="124"/>
      <c r="B29" s="125"/>
      <c r="C29" s="125"/>
      <c r="D29" s="15"/>
    </row>
    <row r="30" spans="1:13" x14ac:dyDescent="0.25">
      <c r="B30" s="126"/>
      <c r="C30" s="126"/>
    </row>
    <row r="31" spans="1:13" x14ac:dyDescent="0.25">
      <c r="B31" s="126"/>
      <c r="C31" s="126"/>
    </row>
    <row r="32" spans="1:13" x14ac:dyDescent="0.25">
      <c r="B32" s="126"/>
      <c r="C32" s="126"/>
    </row>
    <row r="33" spans="2:3" x14ac:dyDescent="0.25">
      <c r="B33" s="126"/>
      <c r="C33" s="126"/>
    </row>
    <row r="34" spans="2:3" x14ac:dyDescent="0.25">
      <c r="B34" s="126"/>
      <c r="C34" s="126"/>
    </row>
    <row r="35" spans="2:3" x14ac:dyDescent="0.25">
      <c r="B35" s="126"/>
      <c r="C35" s="126"/>
    </row>
    <row r="36" spans="2:3" x14ac:dyDescent="0.25">
      <c r="B36" s="126"/>
      <c r="C36" s="126"/>
    </row>
    <row r="37" spans="2:3" x14ac:dyDescent="0.25">
      <c r="B37" s="126"/>
      <c r="C37" s="126"/>
    </row>
    <row r="38" spans="2:3" x14ac:dyDescent="0.25">
      <c r="B38" s="126"/>
      <c r="C38" s="126"/>
    </row>
    <row r="39" spans="2:3" x14ac:dyDescent="0.25">
      <c r="B39" s="126"/>
      <c r="C39" s="126"/>
    </row>
    <row r="40" spans="2:3" x14ac:dyDescent="0.25">
      <c r="B40" s="126"/>
      <c r="C40" s="126"/>
    </row>
    <row r="41" spans="2:3" x14ac:dyDescent="0.25">
      <c r="B41" s="126"/>
      <c r="C41" s="126"/>
    </row>
    <row r="42" spans="2:3" x14ac:dyDescent="0.25">
      <c r="B42" s="126"/>
      <c r="C42" s="126"/>
    </row>
    <row r="43" spans="2:3" x14ac:dyDescent="0.25">
      <c r="B43" s="126"/>
      <c r="C43" s="126"/>
    </row>
    <row r="44" spans="2:3" x14ac:dyDescent="0.25">
      <c r="B44" s="126"/>
      <c r="C44" s="126"/>
    </row>
    <row r="45" spans="2:3" x14ac:dyDescent="0.25">
      <c r="B45" s="126"/>
      <c r="C45" s="126"/>
    </row>
    <row r="46" spans="2:3" x14ac:dyDescent="0.25">
      <c r="B46" s="126"/>
      <c r="C46" s="126"/>
    </row>
    <row r="47" spans="2:3" x14ac:dyDescent="0.25">
      <c r="B47" s="126"/>
      <c r="C47" s="126"/>
    </row>
    <row r="48" spans="2:3" x14ac:dyDescent="0.25">
      <c r="B48" s="126"/>
      <c r="C48" s="126"/>
    </row>
    <row r="49" spans="2:3" x14ac:dyDescent="0.25">
      <c r="B49" s="126"/>
      <c r="C49" s="126"/>
    </row>
    <row r="50" spans="2:3" x14ac:dyDescent="0.25">
      <c r="B50" s="126"/>
      <c r="C50" s="126"/>
    </row>
    <row r="51" spans="2:3" x14ac:dyDescent="0.25">
      <c r="B51" s="126"/>
      <c r="C51" s="126"/>
    </row>
    <row r="52" spans="2:3" x14ac:dyDescent="0.25">
      <c r="B52" s="126"/>
      <c r="C52" s="126"/>
    </row>
    <row r="53" spans="2:3" x14ac:dyDescent="0.25">
      <c r="B53" s="126"/>
      <c r="C53" s="126"/>
    </row>
    <row r="54" spans="2:3" x14ac:dyDescent="0.25">
      <c r="B54" s="126"/>
      <c r="C54" s="126"/>
    </row>
    <row r="55" spans="2:3" x14ac:dyDescent="0.25">
      <c r="B55" s="126"/>
      <c r="C55" s="126"/>
    </row>
    <row r="56" spans="2:3" x14ac:dyDescent="0.25">
      <c r="B56" s="126"/>
      <c r="C56" s="126"/>
    </row>
    <row r="57" spans="2:3" x14ac:dyDescent="0.25">
      <c r="B57" s="126"/>
      <c r="C57" s="126"/>
    </row>
    <row r="58" spans="2:3" x14ac:dyDescent="0.25">
      <c r="B58" s="126"/>
      <c r="C58" s="126"/>
    </row>
    <row r="59" spans="2:3" x14ac:dyDescent="0.25">
      <c r="B59" s="126"/>
      <c r="C59" s="126"/>
    </row>
    <row r="60" spans="2:3" x14ac:dyDescent="0.25">
      <c r="B60" s="126"/>
      <c r="C60" s="126"/>
    </row>
    <row r="61" spans="2:3" x14ac:dyDescent="0.25">
      <c r="B61" s="126"/>
      <c r="C61" s="126"/>
    </row>
    <row r="62" spans="2:3" x14ac:dyDescent="0.25">
      <c r="B62" s="126"/>
      <c r="C62" s="126"/>
    </row>
    <row r="63" spans="2:3" x14ac:dyDescent="0.25">
      <c r="B63" s="126"/>
      <c r="C63" s="126"/>
    </row>
    <row r="64" spans="2:3" x14ac:dyDescent="0.25">
      <c r="B64" s="126"/>
      <c r="C64" s="126"/>
    </row>
    <row r="65" spans="2:3" x14ac:dyDescent="0.25">
      <c r="B65" s="126"/>
      <c r="C65" s="126"/>
    </row>
    <row r="66" spans="2:3" x14ac:dyDescent="0.25">
      <c r="B66" s="126"/>
      <c r="C66" s="126"/>
    </row>
    <row r="67" spans="2:3" x14ac:dyDescent="0.25">
      <c r="B67" s="126"/>
      <c r="C67" s="126"/>
    </row>
    <row r="68" spans="2:3" x14ac:dyDescent="0.25">
      <c r="B68" s="126"/>
      <c r="C68" s="126"/>
    </row>
    <row r="69" spans="2:3" x14ac:dyDescent="0.25">
      <c r="B69" s="126"/>
      <c r="C69" s="126"/>
    </row>
    <row r="70" spans="2:3" x14ac:dyDescent="0.25">
      <c r="B70" s="126"/>
      <c r="C70" s="126"/>
    </row>
    <row r="71" spans="2:3" x14ac:dyDescent="0.25">
      <c r="B71" s="126"/>
      <c r="C71" s="126"/>
    </row>
    <row r="72" spans="2:3" x14ac:dyDescent="0.25">
      <c r="B72" s="126"/>
      <c r="C72" s="126"/>
    </row>
    <row r="73" spans="2:3" x14ac:dyDescent="0.25">
      <c r="B73" s="126"/>
      <c r="C73" s="126"/>
    </row>
    <row r="74" spans="2:3" x14ac:dyDescent="0.25">
      <c r="B74" s="126"/>
      <c r="C74" s="126"/>
    </row>
    <row r="75" spans="2:3" x14ac:dyDescent="0.25">
      <c r="B75" s="126"/>
      <c r="C75" s="126"/>
    </row>
    <row r="76" spans="2:3" x14ac:dyDescent="0.25">
      <c r="B76" s="126"/>
      <c r="C76" s="126"/>
    </row>
    <row r="77" spans="2:3" x14ac:dyDescent="0.25">
      <c r="B77" s="126"/>
      <c r="C77" s="126"/>
    </row>
    <row r="78" spans="2:3" x14ac:dyDescent="0.25">
      <c r="B78" s="126"/>
      <c r="C78" s="126"/>
    </row>
    <row r="79" spans="2:3" x14ac:dyDescent="0.25">
      <c r="B79" s="126"/>
      <c r="C79" s="126"/>
    </row>
    <row r="80" spans="2:3" x14ac:dyDescent="0.25">
      <c r="B80" s="126"/>
      <c r="C80" s="126"/>
    </row>
    <row r="81" spans="2:3" x14ac:dyDescent="0.25">
      <c r="B81" s="126"/>
      <c r="C81" s="126"/>
    </row>
    <row r="82" spans="2:3" x14ac:dyDescent="0.25">
      <c r="B82" s="126"/>
      <c r="C82" s="126"/>
    </row>
    <row r="83" spans="2:3" x14ac:dyDescent="0.25">
      <c r="B83" s="126"/>
      <c r="C83" s="126"/>
    </row>
    <row r="84" spans="2:3" x14ac:dyDescent="0.25">
      <c r="B84" s="126"/>
      <c r="C84" s="126"/>
    </row>
    <row r="85" spans="2:3" x14ac:dyDescent="0.25">
      <c r="B85" s="126"/>
      <c r="C85" s="126"/>
    </row>
    <row r="86" spans="2:3" x14ac:dyDescent="0.25">
      <c r="B86" s="126"/>
      <c r="C86" s="126"/>
    </row>
    <row r="87" spans="2:3" x14ac:dyDescent="0.25">
      <c r="B87" s="126"/>
      <c r="C87" s="126"/>
    </row>
    <row r="88" spans="2:3" x14ac:dyDescent="0.25">
      <c r="B88" s="126"/>
      <c r="C88" s="126"/>
    </row>
    <row r="89" spans="2:3" x14ac:dyDescent="0.25">
      <c r="B89" s="126"/>
      <c r="C89" s="126"/>
    </row>
    <row r="90" spans="2:3" x14ac:dyDescent="0.25">
      <c r="B90" s="126"/>
      <c r="C90" s="126"/>
    </row>
    <row r="91" spans="2:3" x14ac:dyDescent="0.25">
      <c r="B91" s="126"/>
      <c r="C91" s="126"/>
    </row>
    <row r="92" spans="2:3" x14ac:dyDescent="0.25">
      <c r="B92" s="126"/>
      <c r="C92" s="126"/>
    </row>
    <row r="93" spans="2:3" x14ac:dyDescent="0.25">
      <c r="B93" s="126"/>
      <c r="C93" s="126"/>
    </row>
    <row r="94" spans="2:3" x14ac:dyDescent="0.25">
      <c r="B94" s="126"/>
      <c r="C94" s="126"/>
    </row>
    <row r="95" spans="2:3" x14ac:dyDescent="0.25">
      <c r="B95" s="126"/>
      <c r="C95" s="126"/>
    </row>
  </sheetData>
  <conditionalFormatting sqref="D2:N3">
    <cfRule type="colorScale" priority="15">
      <colorScale>
        <cfvo type="min"/>
        <cfvo type="max"/>
        <color rgb="FFFFEF9C"/>
        <color rgb="FF63BE7B"/>
      </colorScale>
    </cfRule>
  </conditionalFormatting>
  <conditionalFormatting sqref="B4:C95">
    <cfRule type="colorScale" priority="18">
      <colorScale>
        <cfvo type="min"/>
        <cfvo type="max"/>
        <color rgb="FFFFEF9C"/>
        <color rgb="FF63BE7B"/>
      </colorScale>
    </cfRule>
  </conditionalFormatting>
  <conditionalFormatting sqref="D4:M28">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AFFFE-4518-4326-8179-CEC0C3283C65}">
  <sheetPr codeName="Sheet31">
    <tabColor theme="9" tint="0.79998168889431442"/>
  </sheetPr>
  <dimension ref="A1:DF206"/>
  <sheetViews>
    <sheetView topLeftCell="C1" zoomScale="130" zoomScaleNormal="130" workbookViewId="0">
      <pane ySplit="6" topLeftCell="A7" activePane="bottomLeft" state="frozen"/>
      <selection activeCell="D23" sqref="D23"/>
      <selection pane="bottomLeft" activeCell="S1" sqref="S1"/>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03" customWidth="1"/>
    <col min="10" max="10" width="5.7109375" customWidth="1"/>
    <col min="11" max="13" width="2.140625" bestFit="1" customWidth="1"/>
    <col min="14" max="14" width="5.7109375" customWidth="1"/>
    <col min="15" max="16" width="3.28515625" bestFit="1" customWidth="1"/>
    <col min="17" max="17" width="5.7109375" customWidth="1"/>
    <col min="18" max="18" width="4.5703125" customWidth="1"/>
    <col min="19" max="98" width="3.7109375" bestFit="1" customWidth="1"/>
    <col min="99" max="494" width="4.5703125" customWidth="1"/>
  </cols>
  <sheetData>
    <row r="1" spans="1:110" ht="15.75" customHeight="1" thickBot="1" x14ac:dyDescent="0.3">
      <c r="A1" s="127" t="s">
        <v>234</v>
      </c>
      <c r="B1" s="127"/>
      <c r="C1" s="127"/>
      <c r="D1" s="127"/>
      <c r="E1" s="127"/>
      <c r="F1" s="128"/>
      <c r="G1" s="128"/>
      <c r="H1" s="129" t="s">
        <v>235</v>
      </c>
      <c r="J1" s="71"/>
      <c r="K1" s="71"/>
      <c r="L1" s="71"/>
      <c r="M1" s="71"/>
      <c r="N1" s="130"/>
      <c r="O1" s="130"/>
      <c r="P1" s="130"/>
      <c r="Q1" s="130"/>
      <c r="R1" s="131" t="s">
        <v>236</v>
      </c>
      <c r="S1" s="42"/>
      <c r="T1" s="42"/>
      <c r="U1" s="42"/>
      <c r="V1" s="42"/>
      <c r="W1" s="42"/>
      <c r="X1" s="42"/>
      <c r="Y1" s="42"/>
      <c r="Z1" s="42"/>
      <c r="AA1" s="42"/>
      <c r="AB1" s="42"/>
    </row>
    <row r="2" spans="1:110" ht="15" customHeight="1" x14ac:dyDescent="0.25">
      <c r="A2" s="132" t="s">
        <v>237</v>
      </c>
      <c r="B2" s="42"/>
      <c r="C2" s="42"/>
      <c r="D2" s="42"/>
      <c r="E2" s="48" t="s">
        <v>238</v>
      </c>
      <c r="F2" s="133">
        <f>1/3</f>
        <v>0.33333333333333331</v>
      </c>
      <c r="G2" s="134">
        <f>2/3</f>
        <v>0.66666666666666663</v>
      </c>
      <c r="H2" s="135">
        <v>1</v>
      </c>
      <c r="I2" s="396" t="s">
        <v>239</v>
      </c>
      <c r="J2" s="136"/>
      <c r="K2" s="136"/>
      <c r="L2" s="136"/>
      <c r="M2" s="136"/>
      <c r="N2" s="137"/>
      <c r="O2" s="137"/>
      <c r="P2" s="137"/>
      <c r="Q2" s="137"/>
      <c r="R2" s="138" t="s">
        <v>240</v>
      </c>
      <c r="S2" s="139">
        <f t="shared" ref="S2:AB2" si="0">COUNTIF(S7:S31,"="&amp;"X")</f>
        <v>3</v>
      </c>
      <c r="T2" s="139">
        <f t="shared" si="0"/>
        <v>3</v>
      </c>
      <c r="U2" s="139">
        <f t="shared" si="0"/>
        <v>3</v>
      </c>
      <c r="V2" s="139">
        <f t="shared" si="0"/>
        <v>3</v>
      </c>
      <c r="W2" s="139">
        <f t="shared" si="0"/>
        <v>2</v>
      </c>
      <c r="X2" s="139">
        <f t="shared" si="0"/>
        <v>2</v>
      </c>
      <c r="Y2" s="139">
        <f t="shared" si="0"/>
        <v>1</v>
      </c>
      <c r="Z2" s="139">
        <f t="shared" si="0"/>
        <v>2</v>
      </c>
      <c r="AA2" s="139">
        <f t="shared" si="0"/>
        <v>2</v>
      </c>
      <c r="AB2" s="139">
        <f t="shared" si="0"/>
        <v>2</v>
      </c>
    </row>
    <row r="3" spans="1:110" ht="15.75" customHeight="1" x14ac:dyDescent="0.25">
      <c r="A3" s="140" t="s">
        <v>241</v>
      </c>
      <c r="B3" s="42"/>
      <c r="C3" s="42"/>
      <c r="D3" s="42"/>
      <c r="E3" s="51">
        <f>SUM(E7:E31)</f>
        <v>23</v>
      </c>
      <c r="F3" s="51">
        <f>SUM(F7:F31)</f>
        <v>102</v>
      </c>
      <c r="G3" s="141">
        <f>SUM(G7:G31)</f>
        <v>10</v>
      </c>
      <c r="H3" s="141">
        <f>SUM(H7:H31)</f>
        <v>4</v>
      </c>
      <c r="I3" s="396"/>
      <c r="J3" s="142"/>
      <c r="K3" s="142"/>
      <c r="L3" s="142"/>
      <c r="M3" s="142"/>
      <c r="N3" s="143"/>
      <c r="O3" s="143"/>
      <c r="P3" s="143"/>
      <c r="Q3" s="143"/>
      <c r="R3" s="115" t="s">
        <v>242</v>
      </c>
      <c r="S3" s="51">
        <f t="shared" ref="S3:AB3" si="1">COUNTIF(S7:S31,"&lt;="&amp;$F$2)</f>
        <v>15</v>
      </c>
      <c r="T3" s="51">
        <f t="shared" si="1"/>
        <v>12</v>
      </c>
      <c r="U3" s="51">
        <f t="shared" si="1"/>
        <v>9</v>
      </c>
      <c r="V3" s="51">
        <f t="shared" si="1"/>
        <v>11</v>
      </c>
      <c r="W3" s="51">
        <f t="shared" si="1"/>
        <v>12</v>
      </c>
      <c r="X3" s="51">
        <f t="shared" si="1"/>
        <v>11</v>
      </c>
      <c r="Y3" s="51">
        <f t="shared" si="1"/>
        <v>12</v>
      </c>
      <c r="Z3" s="51">
        <f t="shared" si="1"/>
        <v>10</v>
      </c>
      <c r="AA3" s="51">
        <f t="shared" si="1"/>
        <v>1</v>
      </c>
      <c r="AB3" s="51">
        <f t="shared" si="1"/>
        <v>9</v>
      </c>
    </row>
    <row r="4" spans="1:110" s="71" customFormat="1" ht="15.75" customHeight="1" x14ac:dyDescent="0.25">
      <c r="A4" s="144"/>
      <c r="B4" s="145"/>
      <c r="C4" s="145"/>
      <c r="D4" s="146"/>
      <c r="E4" s="147" t="s">
        <v>243</v>
      </c>
      <c r="F4" s="148"/>
      <c r="G4" s="148"/>
      <c r="H4" s="149"/>
      <c r="I4" s="396"/>
      <c r="J4" s="150" t="s">
        <v>244</v>
      </c>
      <c r="K4" s="150"/>
      <c r="L4" s="150"/>
      <c r="M4" s="150"/>
      <c r="N4" s="151"/>
      <c r="O4" s="151"/>
      <c r="P4" s="151"/>
      <c r="Q4" s="151"/>
      <c r="R4" s="115" t="s">
        <v>245</v>
      </c>
      <c r="S4" s="141">
        <f t="shared" ref="S4:AB4" si="2">COUNTIF(S7:S31,"&lt;="&amp;$G$2)-S3</f>
        <v>0</v>
      </c>
      <c r="T4" s="141">
        <f t="shared" si="2"/>
        <v>0</v>
      </c>
      <c r="U4" s="141">
        <f t="shared" si="2"/>
        <v>1</v>
      </c>
      <c r="V4" s="141">
        <f t="shared" si="2"/>
        <v>0</v>
      </c>
      <c r="W4" s="141">
        <f t="shared" si="2"/>
        <v>0</v>
      </c>
      <c r="X4" s="141">
        <f t="shared" si="2"/>
        <v>0</v>
      </c>
      <c r="Y4" s="141">
        <f t="shared" si="2"/>
        <v>0</v>
      </c>
      <c r="Z4" s="141">
        <f t="shared" si="2"/>
        <v>1</v>
      </c>
      <c r="AA4" s="141">
        <f t="shared" si="2"/>
        <v>7</v>
      </c>
      <c r="AB4" s="141">
        <f t="shared" si="2"/>
        <v>1</v>
      </c>
    </row>
    <row r="5" spans="1:110" s="71" customFormat="1" ht="15" customHeight="1" thickBot="1" x14ac:dyDescent="0.3">
      <c r="A5" s="152"/>
      <c r="B5" s="70"/>
      <c r="C5" s="153"/>
      <c r="D5" s="153"/>
      <c r="E5" s="154"/>
      <c r="F5" s="154"/>
      <c r="G5" s="155" t="s">
        <v>246</v>
      </c>
      <c r="H5" s="156"/>
      <c r="I5" s="396"/>
      <c r="J5" s="157"/>
      <c r="K5" s="157"/>
      <c r="L5" s="157"/>
      <c r="M5" s="157"/>
      <c r="N5" s="158" t="s">
        <v>247</v>
      </c>
      <c r="O5" s="158"/>
      <c r="P5" s="158"/>
      <c r="Q5" s="158"/>
      <c r="R5" s="115" t="s">
        <v>248</v>
      </c>
      <c r="S5" s="141">
        <f t="shared" ref="S5:AB5" si="3">COUNTIF(S7:S31,"&lt;="&amp;$H$2)-S3-S4</f>
        <v>0</v>
      </c>
      <c r="T5" s="141">
        <f t="shared" si="3"/>
        <v>0</v>
      </c>
      <c r="U5" s="141">
        <f t="shared" si="3"/>
        <v>0</v>
      </c>
      <c r="V5" s="141">
        <f t="shared" si="3"/>
        <v>0</v>
      </c>
      <c r="W5" s="141">
        <f t="shared" si="3"/>
        <v>0</v>
      </c>
      <c r="X5" s="141">
        <f t="shared" si="3"/>
        <v>0</v>
      </c>
      <c r="Y5" s="141">
        <f t="shared" si="3"/>
        <v>0</v>
      </c>
      <c r="Z5" s="141">
        <f t="shared" si="3"/>
        <v>0</v>
      </c>
      <c r="AA5" s="141">
        <f t="shared" si="3"/>
        <v>3</v>
      </c>
      <c r="AB5" s="141">
        <f t="shared" si="3"/>
        <v>1</v>
      </c>
    </row>
    <row r="6" spans="1:110" s="71" customFormat="1" ht="30.75" customHeight="1" thickBot="1" x14ac:dyDescent="0.3">
      <c r="A6" s="159" t="s">
        <v>69</v>
      </c>
      <c r="B6" s="160" t="s">
        <v>249</v>
      </c>
      <c r="C6" s="161" t="s">
        <v>250</v>
      </c>
      <c r="D6" s="161" t="s">
        <v>251</v>
      </c>
      <c r="E6" s="162" t="s">
        <v>252</v>
      </c>
      <c r="F6" s="163" t="s">
        <v>253</v>
      </c>
      <c r="G6" s="164" t="s">
        <v>254</v>
      </c>
      <c r="H6" s="165" t="s">
        <v>255</v>
      </c>
      <c r="I6" s="396"/>
      <c r="J6" s="166">
        <v>1</v>
      </c>
      <c r="K6" s="166">
        <v>2</v>
      </c>
      <c r="L6" s="166">
        <v>3</v>
      </c>
      <c r="M6" s="166">
        <v>4</v>
      </c>
      <c r="N6" s="167">
        <v>1</v>
      </c>
      <c r="O6" s="167">
        <v>2</v>
      </c>
      <c r="P6" s="167">
        <v>3</v>
      </c>
      <c r="Q6" s="167">
        <v>4</v>
      </c>
      <c r="R6" s="168" t="s">
        <v>256</v>
      </c>
      <c r="S6" s="169">
        <v>1</v>
      </c>
      <c r="T6" s="169">
        <v>2</v>
      </c>
      <c r="U6" s="169">
        <v>3</v>
      </c>
      <c r="V6" s="169">
        <v>4</v>
      </c>
      <c r="W6" s="169">
        <v>5</v>
      </c>
      <c r="X6" s="169">
        <v>6</v>
      </c>
      <c r="Y6" s="169">
        <v>7</v>
      </c>
      <c r="Z6" s="169">
        <v>8</v>
      </c>
      <c r="AA6" s="169">
        <v>9</v>
      </c>
      <c r="AB6" s="169">
        <v>10</v>
      </c>
    </row>
    <row r="7" spans="1:110" ht="15.75" thickBot="1" x14ac:dyDescent="0.3">
      <c r="A7" s="170">
        <f>IF(LEN(Projects!A3)&gt;0,Projects!A3,"")</f>
        <v>1</v>
      </c>
      <c r="B7" s="104" t="str">
        <f>IF(ISNA(VLOOKUP(A7,Projects!A:B,2,FALSE)), "",VLOOKUP(A7,Projects!A:B,2,FALSE))</f>
        <v>Project 1</v>
      </c>
      <c r="C7" s="171">
        <f>3*H7+2*G7+1*F7</f>
        <v>8</v>
      </c>
      <c r="D7" s="171">
        <f>SUM(F7:F7)</f>
        <v>3</v>
      </c>
      <c r="E7" s="171">
        <f>COUNTIF(S7:AB7,"="&amp;"X")</f>
        <v>1</v>
      </c>
      <c r="F7" s="171">
        <f>COUNTIF($S7:$AB7,"&lt;="&amp;F$2)</f>
        <v>3</v>
      </c>
      <c r="G7" s="172">
        <f>COUNTIF($S7:$AB7,"&lt;="&amp;G$2)-F7</f>
        <v>1</v>
      </c>
      <c r="H7" s="172">
        <f>COUNTIF($S7:$AB7,"&lt;="&amp;H$2)-G7-F7</f>
        <v>1</v>
      </c>
      <c r="I7" s="173">
        <f>SUM(J7:M7)</f>
        <v>5</v>
      </c>
      <c r="J7" s="171">
        <v>1</v>
      </c>
      <c r="K7" s="171">
        <v>2</v>
      </c>
      <c r="L7" s="171">
        <v>1</v>
      </c>
      <c r="M7" s="171">
        <v>1</v>
      </c>
      <c r="N7" s="174">
        <v>7</v>
      </c>
      <c r="O7" s="174">
        <v>6</v>
      </c>
      <c r="P7" s="174">
        <v>5</v>
      </c>
      <c r="Q7" s="174">
        <v>2</v>
      </c>
      <c r="R7" s="175"/>
      <c r="S7" s="464" t="s">
        <v>238</v>
      </c>
      <c r="T7" s="464" t="s">
        <v>367</v>
      </c>
      <c r="U7" s="464">
        <v>0.32</v>
      </c>
      <c r="V7" s="464">
        <v>0.32</v>
      </c>
      <c r="W7" s="464" t="s">
        <v>367</v>
      </c>
      <c r="X7" s="464" t="s">
        <v>367</v>
      </c>
      <c r="Y7" s="464" t="s">
        <v>367</v>
      </c>
      <c r="Z7" s="464">
        <v>0.24</v>
      </c>
      <c r="AA7" s="464">
        <v>0.76</v>
      </c>
      <c r="AB7" s="464">
        <v>0.48000000000000009</v>
      </c>
      <c r="AE7" s="176"/>
      <c r="AF7" s="176"/>
      <c r="AG7" s="176"/>
      <c r="AH7" s="176"/>
      <c r="AI7" s="176"/>
      <c r="AJ7" s="176"/>
      <c r="AK7" s="176"/>
      <c r="AL7" s="176"/>
      <c r="AM7" s="176"/>
      <c r="AN7" s="176"/>
      <c r="AO7" s="176"/>
      <c r="AP7" s="176"/>
      <c r="AQ7" s="176"/>
      <c r="AR7" s="176"/>
      <c r="AS7" s="176"/>
      <c r="AT7" s="176"/>
      <c r="AU7" s="176"/>
      <c r="AV7" s="176"/>
      <c r="AW7" s="176"/>
      <c r="AX7" s="176"/>
      <c r="AY7" s="176"/>
      <c r="AZ7" s="176"/>
      <c r="BA7" s="176"/>
      <c r="BB7" s="176"/>
      <c r="BC7" s="176"/>
      <c r="BD7" s="176"/>
      <c r="BE7" s="176"/>
      <c r="BF7" s="176"/>
      <c r="BG7" s="176"/>
      <c r="BH7" s="176"/>
      <c r="BI7" s="176"/>
      <c r="BJ7" s="176"/>
      <c r="BK7" s="176"/>
      <c r="BL7" s="176"/>
      <c r="BM7" s="176"/>
      <c r="BN7" s="176"/>
      <c r="BO7" s="176"/>
      <c r="BP7" s="176"/>
      <c r="BQ7" s="176"/>
      <c r="BR7" s="176"/>
      <c r="BS7" s="176"/>
      <c r="BT7" s="176"/>
      <c r="BU7" s="176"/>
      <c r="BV7" s="176"/>
      <c r="BW7" s="176"/>
      <c r="BX7" s="176"/>
      <c r="BY7" s="176"/>
      <c r="BZ7" s="176"/>
      <c r="CA7" s="176"/>
      <c r="CB7" s="176"/>
      <c r="CC7" s="176"/>
      <c r="CD7" s="176"/>
      <c r="CE7" s="176"/>
      <c r="CF7" s="176"/>
      <c r="CG7" s="176"/>
      <c r="CH7" s="176"/>
      <c r="CI7" s="176"/>
      <c r="CJ7" s="176"/>
      <c r="CK7" s="176"/>
      <c r="CL7" s="176"/>
      <c r="CM7" s="176"/>
      <c r="CN7" s="176"/>
      <c r="CO7" s="176"/>
      <c r="CP7" s="176"/>
      <c r="CQ7" s="176"/>
      <c r="CR7" s="176"/>
      <c r="CS7" s="176"/>
      <c r="CT7" s="176"/>
      <c r="CU7" s="176"/>
      <c r="CV7" s="176"/>
      <c r="CW7" s="176"/>
      <c r="CX7" s="176"/>
      <c r="CY7" s="176"/>
      <c r="CZ7" s="176"/>
      <c r="DA7" s="176"/>
      <c r="DB7" s="176"/>
      <c r="DC7" s="176"/>
      <c r="DD7" s="176"/>
      <c r="DE7" s="176"/>
      <c r="DF7" s="176"/>
    </row>
    <row r="8" spans="1:110" ht="15.75" thickBot="1" x14ac:dyDescent="0.3">
      <c r="A8" s="170">
        <f>IF(LEN(Projects!A4)&gt;0,Projects!A4,"")</f>
        <v>2</v>
      </c>
      <c r="B8" s="104" t="str">
        <f>IF(ISNA(VLOOKUP(A8,Projects!A:B,2,FALSE)), "",VLOOKUP(A8,Projects!A:B,2,FALSE))</f>
        <v>Project 2</v>
      </c>
      <c r="C8" s="171">
        <f t="shared" ref="C8:C31" si="4">3*H8+2*G8+1*F8</f>
        <v>6</v>
      </c>
      <c r="D8" s="171">
        <f t="shared" ref="D8:D31" si="5">SUM(F8:F8)</f>
        <v>4</v>
      </c>
      <c r="E8" s="171">
        <f t="shared" ref="E8:E31" si="6">COUNTIF(S8:AB8,"="&amp;"X")</f>
        <v>1</v>
      </c>
      <c r="F8" s="171">
        <f t="shared" ref="F8:F31" si="7">COUNTIF($S8:$AB8,"&lt;="&amp;F$2)</f>
        <v>4</v>
      </c>
      <c r="G8" s="172">
        <f t="shared" ref="G8:G31" si="8">COUNTIF($S8:$AB8,"&lt;="&amp;G$2)-F8</f>
        <v>1</v>
      </c>
      <c r="H8" s="172">
        <f t="shared" ref="H8:H31" si="9">COUNTIF($S8:$AB8,"&lt;="&amp;H$2)-G8-F8</f>
        <v>0</v>
      </c>
      <c r="I8" s="173">
        <f t="shared" ref="I8:I31" si="10">SUM(J8:M8)</f>
        <v>6</v>
      </c>
      <c r="J8" s="171">
        <v>2</v>
      </c>
      <c r="K8" s="171">
        <v>2</v>
      </c>
      <c r="L8" s="171">
        <v>1</v>
      </c>
      <c r="M8" s="171">
        <v>1</v>
      </c>
      <c r="N8" s="174">
        <v>6</v>
      </c>
      <c r="O8" s="174">
        <v>10</v>
      </c>
      <c r="P8" s="174">
        <v>4</v>
      </c>
      <c r="Q8" s="174">
        <v>5</v>
      </c>
      <c r="R8" s="175"/>
      <c r="S8" s="464">
        <v>0.12</v>
      </c>
      <c r="T8" s="464" t="s">
        <v>238</v>
      </c>
      <c r="U8" s="464">
        <v>0.12</v>
      </c>
      <c r="V8" s="464" t="s">
        <v>367</v>
      </c>
      <c r="W8" s="464" t="s">
        <v>367</v>
      </c>
      <c r="X8" s="464" t="s">
        <v>367</v>
      </c>
      <c r="Y8" s="464">
        <v>0.16</v>
      </c>
      <c r="Z8" s="464">
        <v>0.16</v>
      </c>
      <c r="AA8" s="464">
        <v>0.60000000000000009</v>
      </c>
      <c r="AB8" s="464" t="s">
        <v>367</v>
      </c>
      <c r="AE8" s="176"/>
      <c r="AF8" s="176"/>
      <c r="AG8" s="176"/>
      <c r="AH8" s="176"/>
      <c r="AI8" s="176"/>
      <c r="AJ8" s="176"/>
      <c r="AK8" s="176"/>
      <c r="AL8" s="176"/>
      <c r="AM8" s="176"/>
      <c r="AN8" s="176"/>
      <c r="AO8" s="176"/>
      <c r="AP8" s="176"/>
      <c r="AQ8" s="176"/>
      <c r="AR8" s="176"/>
      <c r="AS8" s="176"/>
      <c r="AT8" s="176"/>
      <c r="AU8" s="176"/>
      <c r="AV8" s="176"/>
      <c r="AW8" s="176"/>
      <c r="AX8" s="176"/>
      <c r="AY8" s="176"/>
      <c r="AZ8" s="176"/>
      <c r="BA8" s="176"/>
      <c r="BB8" s="176"/>
      <c r="BC8" s="176"/>
      <c r="BD8" s="176"/>
      <c r="BE8" s="176"/>
      <c r="BF8" s="176"/>
      <c r="BG8" s="176"/>
      <c r="BH8" s="176"/>
      <c r="BI8" s="176"/>
      <c r="BJ8" s="176"/>
      <c r="BK8" s="176"/>
      <c r="BL8" s="176"/>
      <c r="BM8" s="176"/>
      <c r="BN8" s="176"/>
      <c r="BO8" s="176"/>
      <c r="BP8" s="176"/>
      <c r="BQ8" s="176"/>
      <c r="BR8" s="176"/>
      <c r="BS8" s="176"/>
      <c r="BT8" s="176"/>
      <c r="BU8" s="176"/>
      <c r="BV8" s="176"/>
      <c r="BW8" s="176"/>
      <c r="BX8" s="176"/>
      <c r="BY8" s="176"/>
      <c r="BZ8" s="176"/>
      <c r="CA8" s="176"/>
      <c r="CB8" s="176"/>
      <c r="CC8" s="176"/>
      <c r="CD8" s="176"/>
      <c r="CE8" s="176"/>
      <c r="CF8" s="176"/>
      <c r="CG8" s="176"/>
      <c r="CH8" s="176"/>
      <c r="CI8" s="176"/>
      <c r="CJ8" s="176"/>
      <c r="CK8" s="176"/>
      <c r="CL8" s="176"/>
      <c r="CM8" s="176"/>
      <c r="CN8" s="176"/>
      <c r="CO8" s="176"/>
      <c r="CP8" s="176"/>
      <c r="CQ8" s="176"/>
      <c r="CR8" s="176"/>
      <c r="CS8" s="176"/>
      <c r="CT8" s="176"/>
      <c r="CU8" s="176"/>
      <c r="CV8" s="176"/>
      <c r="CW8" s="176"/>
      <c r="CX8" s="176"/>
      <c r="CY8" s="176"/>
      <c r="CZ8" s="176"/>
      <c r="DA8" s="176"/>
      <c r="DB8" s="176"/>
      <c r="DC8" s="176"/>
      <c r="DD8" s="176"/>
      <c r="DE8" s="176"/>
      <c r="DF8" s="176"/>
    </row>
    <row r="9" spans="1:110" ht="15.75" thickBot="1" x14ac:dyDescent="0.3">
      <c r="A9" s="170">
        <f>IF(LEN(Projects!A5)&gt;0,Projects!A5,"")</f>
        <v>3</v>
      </c>
      <c r="B9" s="104" t="str">
        <f>IF(ISNA(VLOOKUP(A9,Projects!A:B,2,FALSE)), "",VLOOKUP(A9,Projects!A:B,2,FALSE))</f>
        <v>Project 3</v>
      </c>
      <c r="C9" s="171">
        <f t="shared" si="4"/>
        <v>5</v>
      </c>
      <c r="D9" s="171">
        <f t="shared" si="5"/>
        <v>5</v>
      </c>
      <c r="E9" s="171">
        <f t="shared" si="6"/>
        <v>1</v>
      </c>
      <c r="F9" s="171">
        <f t="shared" si="7"/>
        <v>5</v>
      </c>
      <c r="G9" s="172">
        <f t="shared" si="8"/>
        <v>0</v>
      </c>
      <c r="H9" s="172">
        <f t="shared" si="9"/>
        <v>0</v>
      </c>
      <c r="I9" s="173">
        <f t="shared" si="10"/>
        <v>4</v>
      </c>
      <c r="J9" s="171">
        <v>1</v>
      </c>
      <c r="K9" s="171">
        <v>1</v>
      </c>
      <c r="L9" s="171">
        <v>1</v>
      </c>
      <c r="M9" s="171">
        <v>1</v>
      </c>
      <c r="N9" s="174">
        <v>10</v>
      </c>
      <c r="O9" s="174">
        <v>9</v>
      </c>
      <c r="P9" s="174">
        <v>8</v>
      </c>
      <c r="Q9" s="174">
        <v>5</v>
      </c>
      <c r="R9" s="175"/>
      <c r="S9" s="464">
        <v>0.08</v>
      </c>
      <c r="T9" s="464">
        <v>0.04</v>
      </c>
      <c r="U9" s="464" t="s">
        <v>238</v>
      </c>
      <c r="V9" s="464">
        <v>0.16</v>
      </c>
      <c r="W9" s="464" t="s">
        <v>367</v>
      </c>
      <c r="X9" s="464">
        <v>0.24</v>
      </c>
      <c r="Y9" s="464">
        <v>0.2</v>
      </c>
      <c r="Z9" s="464" t="s">
        <v>367</v>
      </c>
      <c r="AA9" s="464" t="s">
        <v>367</v>
      </c>
      <c r="AB9" s="464" t="s">
        <v>367</v>
      </c>
      <c r="AC9" s="176"/>
      <c r="AD9" s="176"/>
      <c r="AE9" s="176"/>
      <c r="AF9" s="176"/>
      <c r="AG9" s="176"/>
      <c r="AH9" s="176"/>
      <c r="AI9" s="176"/>
      <c r="AJ9" s="176"/>
      <c r="AK9" s="176"/>
      <c r="AL9" s="176"/>
      <c r="AM9" s="176"/>
      <c r="AN9" s="176"/>
      <c r="AO9" s="176"/>
      <c r="AP9" s="176"/>
      <c r="AQ9" s="176"/>
      <c r="AR9" s="176"/>
      <c r="AS9" s="176"/>
      <c r="AT9" s="176"/>
      <c r="AU9" s="176"/>
      <c r="AV9" s="176"/>
      <c r="AW9" s="176"/>
      <c r="AX9" s="176"/>
      <c r="AY9" s="176"/>
      <c r="AZ9" s="176"/>
      <c r="BA9" s="176"/>
      <c r="BB9" s="176"/>
      <c r="BC9" s="176"/>
      <c r="BD9" s="176"/>
      <c r="BE9" s="176"/>
      <c r="BF9" s="176"/>
      <c r="BG9" s="176"/>
      <c r="BH9" s="176"/>
      <c r="BI9" s="176"/>
      <c r="BJ9" s="176"/>
      <c r="BK9" s="176"/>
      <c r="BL9" s="176"/>
      <c r="BM9" s="176"/>
      <c r="BN9" s="176"/>
      <c r="BO9" s="176"/>
      <c r="BP9" s="176"/>
      <c r="BQ9" s="176"/>
      <c r="BR9" s="176"/>
      <c r="BS9" s="176"/>
      <c r="BT9" s="176"/>
      <c r="BU9" s="176"/>
      <c r="BV9" s="176"/>
      <c r="BW9" s="176"/>
      <c r="BX9" s="176"/>
      <c r="BY9" s="176"/>
      <c r="BZ9" s="176"/>
      <c r="CA9" s="176"/>
      <c r="CB9" s="176"/>
      <c r="CC9" s="176"/>
      <c r="CD9" s="176"/>
      <c r="CE9" s="176"/>
      <c r="CF9" s="176"/>
      <c r="CG9" s="176"/>
      <c r="CH9" s="176"/>
      <c r="CI9" s="176"/>
      <c r="CJ9" s="176"/>
      <c r="CK9" s="176"/>
      <c r="CL9" s="176"/>
      <c r="CM9" s="176"/>
      <c r="CN9" s="176"/>
      <c r="CO9" s="176"/>
      <c r="CP9" s="176"/>
      <c r="CQ9" s="176"/>
      <c r="CR9" s="176"/>
      <c r="CS9" s="176"/>
      <c r="CT9" s="176"/>
    </row>
    <row r="10" spans="1:110" ht="15.75" thickBot="1" x14ac:dyDescent="0.3">
      <c r="A10" s="170">
        <f>IF(LEN(Projects!A6)&gt;0,Projects!A6,"")</f>
        <v>4</v>
      </c>
      <c r="B10" s="104" t="str">
        <f>IF(ISNA(VLOOKUP(A10,Projects!A:B,2,FALSE)), "",VLOOKUP(A10,Projects!A:B,2,FALSE))</f>
        <v>Project 4</v>
      </c>
      <c r="C10" s="171">
        <f t="shared" si="4"/>
        <v>5</v>
      </c>
      <c r="D10" s="171">
        <f t="shared" si="5"/>
        <v>5</v>
      </c>
      <c r="E10" s="171">
        <f t="shared" si="6"/>
        <v>1</v>
      </c>
      <c r="F10" s="171">
        <f t="shared" si="7"/>
        <v>5</v>
      </c>
      <c r="G10" s="172">
        <f t="shared" si="8"/>
        <v>0</v>
      </c>
      <c r="H10" s="172">
        <f t="shared" si="9"/>
        <v>0</v>
      </c>
      <c r="I10" s="173">
        <f t="shared" si="10"/>
        <v>6</v>
      </c>
      <c r="J10" s="171">
        <v>2</v>
      </c>
      <c r="K10" s="171">
        <v>2</v>
      </c>
      <c r="L10" s="171">
        <v>1</v>
      </c>
      <c r="M10" s="171">
        <v>1</v>
      </c>
      <c r="N10" s="174">
        <v>9</v>
      </c>
      <c r="O10" s="174">
        <v>6</v>
      </c>
      <c r="P10" s="174">
        <v>5</v>
      </c>
      <c r="Q10" s="174">
        <v>7</v>
      </c>
      <c r="R10" s="175"/>
      <c r="S10" s="464">
        <v>0.08</v>
      </c>
      <c r="T10" s="464">
        <v>0.2</v>
      </c>
      <c r="U10" s="464">
        <v>0.32</v>
      </c>
      <c r="V10" s="464" t="s">
        <v>238</v>
      </c>
      <c r="W10" s="464" t="s">
        <v>367</v>
      </c>
      <c r="X10" s="464" t="s">
        <v>367</v>
      </c>
      <c r="Y10" s="464" t="s">
        <v>367</v>
      </c>
      <c r="Z10" s="464">
        <v>0.2</v>
      </c>
      <c r="AA10" s="464" t="s">
        <v>367</v>
      </c>
      <c r="AB10" s="464">
        <v>0.12</v>
      </c>
      <c r="AC10" s="176"/>
      <c r="AD10" s="176"/>
      <c r="AE10" s="176"/>
      <c r="AF10" s="176"/>
      <c r="AG10" s="176"/>
      <c r="AH10" s="176"/>
      <c r="AI10" s="176"/>
      <c r="AJ10" s="176"/>
      <c r="AK10" s="176"/>
      <c r="AL10" s="176"/>
      <c r="AM10" s="176"/>
      <c r="AN10" s="176"/>
      <c r="AO10" s="176"/>
      <c r="AP10" s="176"/>
      <c r="AQ10" s="176"/>
      <c r="AR10" s="176"/>
      <c r="AS10" s="176"/>
      <c r="AT10" s="176"/>
      <c r="AU10" s="176"/>
      <c r="AV10" s="176"/>
      <c r="AW10" s="176"/>
      <c r="AX10" s="176"/>
      <c r="AY10" s="176"/>
      <c r="AZ10" s="176"/>
      <c r="BA10" s="176"/>
      <c r="BB10" s="176"/>
      <c r="BC10" s="176"/>
      <c r="BD10" s="176"/>
      <c r="BE10" s="176"/>
      <c r="BF10" s="176"/>
      <c r="BG10" s="176"/>
      <c r="BH10" s="176"/>
      <c r="BI10" s="176"/>
      <c r="BJ10" s="176"/>
      <c r="BK10" s="176"/>
      <c r="BL10" s="176"/>
      <c r="BM10" s="176"/>
      <c r="BN10" s="176"/>
      <c r="BO10" s="176"/>
      <c r="BP10" s="176"/>
      <c r="BQ10" s="176"/>
      <c r="BR10" s="176"/>
      <c r="BS10" s="176"/>
      <c r="BT10" s="176"/>
      <c r="BU10" s="176"/>
      <c r="BV10" s="176"/>
      <c r="BW10" s="176"/>
      <c r="BX10" s="176"/>
      <c r="BY10" s="176"/>
      <c r="BZ10" s="176"/>
      <c r="CA10" s="176"/>
      <c r="CB10" s="176"/>
      <c r="CC10" s="176"/>
      <c r="CD10" s="176"/>
      <c r="CE10" s="176"/>
      <c r="CF10" s="176"/>
      <c r="CG10" s="176"/>
      <c r="CH10" s="176"/>
      <c r="CI10" s="176"/>
      <c r="CJ10" s="176"/>
      <c r="CK10" s="176"/>
      <c r="CL10" s="176"/>
      <c r="CM10" s="176"/>
      <c r="CN10" s="176"/>
      <c r="CO10" s="176"/>
      <c r="CP10" s="176"/>
      <c r="CQ10" s="176"/>
      <c r="CR10" s="176"/>
      <c r="CS10" s="176"/>
      <c r="CT10" s="176"/>
    </row>
    <row r="11" spans="1:110" ht="15.75" thickBot="1" x14ac:dyDescent="0.3">
      <c r="A11" s="170">
        <f>IF(LEN(Projects!A7)&gt;0,Projects!A7,"")</f>
        <v>5</v>
      </c>
      <c r="B11" s="104" t="str">
        <f>IF(ISNA(VLOOKUP(A11,Projects!A:B,2,FALSE)), "",VLOOKUP(A11,Projects!A:B,2,FALSE))</f>
        <v>Project 5</v>
      </c>
      <c r="C11" s="171">
        <f t="shared" si="4"/>
        <v>6</v>
      </c>
      <c r="D11" s="171">
        <f t="shared" si="5"/>
        <v>4</v>
      </c>
      <c r="E11" s="171">
        <f t="shared" si="6"/>
        <v>1</v>
      </c>
      <c r="F11" s="171">
        <f t="shared" si="7"/>
        <v>4</v>
      </c>
      <c r="G11" s="172">
        <f t="shared" si="8"/>
        <v>1</v>
      </c>
      <c r="H11" s="172">
        <f t="shared" si="9"/>
        <v>0</v>
      </c>
      <c r="I11" s="173">
        <f t="shared" si="10"/>
        <v>6</v>
      </c>
      <c r="J11" s="171">
        <v>2</v>
      </c>
      <c r="K11" s="171">
        <v>2</v>
      </c>
      <c r="L11" s="171">
        <v>1</v>
      </c>
      <c r="M11" s="171">
        <v>1</v>
      </c>
      <c r="N11" s="174">
        <v>3</v>
      </c>
      <c r="O11" s="174">
        <v>10</v>
      </c>
      <c r="P11" s="174">
        <v>8</v>
      </c>
      <c r="Q11" s="174">
        <v>2</v>
      </c>
      <c r="R11" s="175"/>
      <c r="S11" s="464">
        <v>0.08</v>
      </c>
      <c r="T11" s="464" t="s">
        <v>367</v>
      </c>
      <c r="U11" s="464" t="s">
        <v>367</v>
      </c>
      <c r="V11" s="464">
        <v>0.28000000000000003</v>
      </c>
      <c r="W11" s="464" t="s">
        <v>238</v>
      </c>
      <c r="X11" s="464">
        <v>0.32</v>
      </c>
      <c r="Y11" s="464">
        <v>0.24000000000000005</v>
      </c>
      <c r="Z11" s="464" t="s">
        <v>367</v>
      </c>
      <c r="AA11" s="464">
        <v>0.43999999999999995</v>
      </c>
      <c r="AB11" s="464" t="s">
        <v>367</v>
      </c>
      <c r="AC11" s="176"/>
      <c r="AD11" s="176"/>
      <c r="AE11" s="176"/>
      <c r="AF11" s="176"/>
      <c r="AG11" s="176"/>
      <c r="AH11" s="176"/>
      <c r="AI11" s="176"/>
      <c r="AJ11" s="176"/>
      <c r="AK11" s="176"/>
      <c r="AL11" s="176"/>
      <c r="AM11" s="176"/>
      <c r="AN11" s="176"/>
      <c r="AO11" s="176"/>
      <c r="AP11" s="176"/>
      <c r="AQ11" s="176"/>
      <c r="AR11" s="176"/>
      <c r="AS11" s="176"/>
      <c r="AT11" s="176"/>
      <c r="AU11" s="176"/>
      <c r="AV11" s="176"/>
      <c r="AW11" s="176"/>
      <c r="AX11" s="176"/>
      <c r="AY11" s="176"/>
      <c r="AZ11" s="176"/>
      <c r="BA11" s="176"/>
      <c r="BB11" s="176"/>
      <c r="BC11" s="176"/>
      <c r="BD11" s="176"/>
      <c r="BE11" s="176"/>
      <c r="BF11" s="176"/>
      <c r="BG11" s="176"/>
      <c r="BH11" s="176"/>
      <c r="BI11" s="176"/>
      <c r="BJ11" s="176"/>
      <c r="BK11" s="176"/>
      <c r="BL11" s="176"/>
      <c r="BM11" s="176"/>
      <c r="BN11" s="176"/>
      <c r="BO11" s="176"/>
      <c r="BP11" s="176"/>
      <c r="BQ11" s="176"/>
      <c r="BR11" s="176"/>
      <c r="BS11" s="176"/>
      <c r="BT11" s="176"/>
      <c r="BU11" s="176"/>
      <c r="BV11" s="176"/>
      <c r="BW11" s="176"/>
      <c r="BX11" s="176"/>
      <c r="BY11" s="176"/>
      <c r="BZ11" s="176"/>
      <c r="CA11" s="176"/>
      <c r="CB11" s="176"/>
      <c r="CC11" s="176"/>
      <c r="CD11" s="176"/>
      <c r="CE11" s="176"/>
      <c r="CF11" s="176"/>
      <c r="CG11" s="176"/>
      <c r="CH11" s="176"/>
      <c r="CI11" s="176"/>
      <c r="CJ11" s="176"/>
      <c r="CK11" s="176"/>
      <c r="CL11" s="176"/>
      <c r="CM11" s="176"/>
      <c r="CN11" s="176"/>
      <c r="CO11" s="176"/>
      <c r="CP11" s="176"/>
      <c r="CQ11" s="176"/>
      <c r="CR11" s="176"/>
      <c r="CS11" s="176"/>
      <c r="CT11" s="176"/>
    </row>
    <row r="12" spans="1:110" ht="15.75" thickBot="1" x14ac:dyDescent="0.3">
      <c r="A12" s="170">
        <f>IF(LEN(Projects!A8)&gt;0,Projects!A8,"")</f>
        <v>6</v>
      </c>
      <c r="B12" s="104" t="str">
        <f>IF(ISNA(VLOOKUP(A12,Projects!A:B,2,FALSE)), "",VLOOKUP(A12,Projects!A:B,2,FALSE))</f>
        <v>Project 6</v>
      </c>
      <c r="C12" s="171">
        <f t="shared" si="4"/>
        <v>5</v>
      </c>
      <c r="D12" s="171">
        <f t="shared" si="5"/>
        <v>5</v>
      </c>
      <c r="E12" s="171">
        <f t="shared" si="6"/>
        <v>1</v>
      </c>
      <c r="F12" s="171">
        <f t="shared" si="7"/>
        <v>5</v>
      </c>
      <c r="G12" s="172">
        <f t="shared" si="8"/>
        <v>0</v>
      </c>
      <c r="H12" s="172">
        <f t="shared" si="9"/>
        <v>0</v>
      </c>
      <c r="I12" s="173">
        <f t="shared" si="10"/>
        <v>6</v>
      </c>
      <c r="J12" s="171">
        <v>2</v>
      </c>
      <c r="K12" s="171">
        <v>2</v>
      </c>
      <c r="L12" s="171">
        <v>1</v>
      </c>
      <c r="M12" s="171">
        <v>1</v>
      </c>
      <c r="N12" s="174">
        <v>3</v>
      </c>
      <c r="O12" s="174">
        <v>9</v>
      </c>
      <c r="P12" s="174">
        <v>8</v>
      </c>
      <c r="Q12" s="174">
        <v>5</v>
      </c>
      <c r="R12" s="175"/>
      <c r="S12" s="464">
        <v>0.2</v>
      </c>
      <c r="T12" s="464">
        <v>0.12</v>
      </c>
      <c r="U12" s="464" t="s">
        <v>367</v>
      </c>
      <c r="V12" s="464">
        <v>0.16</v>
      </c>
      <c r="W12" s="464" t="s">
        <v>367</v>
      </c>
      <c r="X12" s="464" t="s">
        <v>238</v>
      </c>
      <c r="Y12" s="464">
        <v>0.12</v>
      </c>
      <c r="Z12" s="464" t="s">
        <v>367</v>
      </c>
      <c r="AA12" s="464" t="s">
        <v>367</v>
      </c>
      <c r="AB12" s="464">
        <v>0.24</v>
      </c>
      <c r="AC12" s="176"/>
      <c r="AD12" s="176"/>
      <c r="AE12" s="176"/>
      <c r="AF12" s="176"/>
      <c r="AG12" s="176"/>
      <c r="AH12" s="176"/>
      <c r="AI12" s="176"/>
      <c r="AJ12" s="176"/>
      <c r="AK12" s="176"/>
      <c r="AL12" s="176"/>
      <c r="AM12" s="176"/>
      <c r="AN12" s="176"/>
      <c r="AO12" s="176"/>
      <c r="AP12" s="176"/>
      <c r="AQ12" s="176"/>
      <c r="AR12" s="176"/>
      <c r="AS12" s="176"/>
      <c r="AT12" s="176"/>
      <c r="AU12" s="176"/>
      <c r="AV12" s="176"/>
      <c r="AW12" s="176"/>
      <c r="AX12" s="176"/>
      <c r="AY12" s="176"/>
      <c r="AZ12" s="176"/>
      <c r="BA12" s="176"/>
      <c r="BB12" s="176"/>
      <c r="BC12" s="176"/>
      <c r="BD12" s="176"/>
      <c r="BE12" s="176"/>
      <c r="BF12" s="176"/>
      <c r="BG12" s="176"/>
      <c r="BH12" s="176"/>
      <c r="BI12" s="176"/>
      <c r="BJ12" s="176"/>
      <c r="BK12" s="176"/>
      <c r="BL12" s="176"/>
      <c r="BM12" s="176"/>
      <c r="BN12" s="176"/>
      <c r="BO12" s="176"/>
      <c r="BP12" s="176"/>
      <c r="BQ12" s="176"/>
      <c r="BR12" s="176"/>
      <c r="BS12" s="176"/>
      <c r="BT12" s="176"/>
      <c r="BU12" s="176"/>
      <c r="BV12" s="176"/>
      <c r="BW12" s="176"/>
      <c r="BX12" s="176"/>
      <c r="BY12" s="176"/>
      <c r="BZ12" s="176"/>
      <c r="CA12" s="176"/>
      <c r="CB12" s="176"/>
      <c r="CC12" s="176"/>
      <c r="CD12" s="176"/>
      <c r="CE12" s="176"/>
      <c r="CF12" s="176"/>
      <c r="CG12" s="176"/>
      <c r="CH12" s="176"/>
      <c r="CI12" s="176"/>
      <c r="CJ12" s="176"/>
      <c r="CK12" s="176"/>
      <c r="CL12" s="176"/>
      <c r="CM12" s="176"/>
      <c r="CN12" s="176"/>
      <c r="CO12" s="176"/>
      <c r="CP12" s="176"/>
      <c r="CQ12" s="176"/>
      <c r="CR12" s="176"/>
      <c r="CS12" s="176"/>
      <c r="CT12" s="176"/>
    </row>
    <row r="13" spans="1:110" ht="15.75" thickBot="1" x14ac:dyDescent="0.3">
      <c r="A13" s="170">
        <f>IF(LEN(Projects!A9)&gt;0,Projects!A9,"")</f>
        <v>7</v>
      </c>
      <c r="B13" s="104" t="str">
        <f>IF(ISNA(VLOOKUP(A13,Projects!A:B,2,FALSE)), "",VLOOKUP(A13,Projects!A:B,2,FALSE))</f>
        <v>Project 7</v>
      </c>
      <c r="C13" s="171">
        <f t="shared" si="4"/>
        <v>6</v>
      </c>
      <c r="D13" s="171">
        <f t="shared" si="5"/>
        <v>6</v>
      </c>
      <c r="E13" s="171">
        <f t="shared" si="6"/>
        <v>0</v>
      </c>
      <c r="F13" s="171">
        <f t="shared" si="7"/>
        <v>6</v>
      </c>
      <c r="G13" s="172">
        <f t="shared" si="8"/>
        <v>0</v>
      </c>
      <c r="H13" s="172">
        <f t="shared" si="9"/>
        <v>0</v>
      </c>
      <c r="I13" s="173">
        <f t="shared" si="10"/>
        <v>5</v>
      </c>
      <c r="J13" s="171">
        <v>2</v>
      </c>
      <c r="K13" s="171">
        <v>1</v>
      </c>
      <c r="L13" s="171">
        <v>1</v>
      </c>
      <c r="M13" s="171">
        <v>1</v>
      </c>
      <c r="N13" s="174">
        <v>9</v>
      </c>
      <c r="O13" s="174">
        <v>5</v>
      </c>
      <c r="P13" s="174">
        <v>8</v>
      </c>
      <c r="Q13" s="174">
        <v>2</v>
      </c>
      <c r="R13" s="175"/>
      <c r="S13" s="464">
        <v>0.04</v>
      </c>
      <c r="T13" s="464" t="s">
        <v>367</v>
      </c>
      <c r="U13" s="464">
        <v>0.16</v>
      </c>
      <c r="V13" s="464">
        <v>0.08</v>
      </c>
      <c r="W13" s="464" t="s">
        <v>367</v>
      </c>
      <c r="X13" s="464">
        <v>0.04</v>
      </c>
      <c r="Y13" s="464">
        <v>0.08</v>
      </c>
      <c r="Z13" s="464" t="s">
        <v>367</v>
      </c>
      <c r="AA13" s="464" t="s">
        <v>367</v>
      </c>
      <c r="AB13" s="464">
        <v>0.04</v>
      </c>
      <c r="AC13" s="176"/>
      <c r="AD13" s="176"/>
      <c r="AE13" s="176"/>
      <c r="AF13" s="176"/>
      <c r="AG13" s="176"/>
      <c r="AH13" s="176"/>
      <c r="AI13" s="176"/>
      <c r="AJ13" s="176"/>
      <c r="AK13" s="176"/>
      <c r="AL13" s="176"/>
      <c r="AM13" s="176"/>
      <c r="AN13" s="176"/>
      <c r="AO13" s="176"/>
      <c r="AP13" s="176"/>
      <c r="AQ13" s="176"/>
      <c r="AR13" s="176"/>
      <c r="AS13" s="176"/>
      <c r="AT13" s="176"/>
      <c r="AU13" s="176"/>
      <c r="AV13" s="176"/>
      <c r="AW13" s="176"/>
      <c r="AX13" s="176"/>
      <c r="AY13" s="176"/>
      <c r="AZ13" s="176"/>
      <c r="BA13" s="176"/>
      <c r="BB13" s="176"/>
      <c r="BC13" s="176"/>
      <c r="BD13" s="176"/>
      <c r="BE13" s="176"/>
      <c r="BF13" s="176"/>
      <c r="BG13" s="176"/>
      <c r="BH13" s="176"/>
      <c r="BI13" s="176"/>
      <c r="BJ13" s="176"/>
      <c r="BK13" s="176"/>
      <c r="BL13" s="176"/>
      <c r="BM13" s="176"/>
      <c r="BN13" s="176"/>
      <c r="BO13" s="176"/>
      <c r="BP13" s="176"/>
      <c r="BQ13" s="176"/>
      <c r="BR13" s="176"/>
      <c r="BS13" s="176"/>
      <c r="BT13" s="176"/>
      <c r="BU13" s="176"/>
      <c r="BV13" s="176"/>
      <c r="BW13" s="176"/>
      <c r="BX13" s="176"/>
      <c r="BY13" s="176"/>
      <c r="BZ13" s="176"/>
      <c r="CA13" s="176"/>
      <c r="CB13" s="176"/>
      <c r="CC13" s="176"/>
      <c r="CD13" s="176"/>
      <c r="CE13" s="176"/>
      <c r="CF13" s="176"/>
      <c r="CG13" s="176"/>
      <c r="CH13" s="176"/>
      <c r="CI13" s="176"/>
      <c r="CJ13" s="176"/>
      <c r="CK13" s="176"/>
      <c r="CL13" s="176"/>
      <c r="CM13" s="176"/>
      <c r="CN13" s="176"/>
      <c r="CO13" s="176"/>
      <c r="CP13" s="176"/>
      <c r="CQ13" s="176"/>
      <c r="CR13" s="176"/>
      <c r="CS13" s="176"/>
      <c r="CT13" s="176"/>
    </row>
    <row r="14" spans="1:110" ht="15.75" thickBot="1" x14ac:dyDescent="0.3">
      <c r="A14" s="170">
        <f>IF(LEN(Projects!A10)&gt;0,Projects!A10,"")</f>
        <v>8</v>
      </c>
      <c r="B14" s="104" t="str">
        <f>IF(ISNA(VLOOKUP(A14,Projects!A:B,2,FALSE)), "",VLOOKUP(A14,Projects!A:B,2,FALSE))</f>
        <v>Project 8</v>
      </c>
      <c r="C14" s="171">
        <f t="shared" si="4"/>
        <v>6</v>
      </c>
      <c r="D14" s="171">
        <f t="shared" si="5"/>
        <v>4</v>
      </c>
      <c r="E14" s="171">
        <f t="shared" si="6"/>
        <v>1</v>
      </c>
      <c r="F14" s="171">
        <f t="shared" si="7"/>
        <v>4</v>
      </c>
      <c r="G14" s="172">
        <f t="shared" si="8"/>
        <v>1</v>
      </c>
      <c r="H14" s="172">
        <f t="shared" si="9"/>
        <v>0</v>
      </c>
      <c r="I14" s="173">
        <f t="shared" si="10"/>
        <v>7</v>
      </c>
      <c r="J14" s="171">
        <v>2</v>
      </c>
      <c r="K14" s="171">
        <v>2</v>
      </c>
      <c r="L14" s="171">
        <v>2</v>
      </c>
      <c r="M14" s="171">
        <v>1</v>
      </c>
      <c r="N14" s="174">
        <v>6</v>
      </c>
      <c r="O14" s="174">
        <v>10</v>
      </c>
      <c r="P14" s="174">
        <v>3</v>
      </c>
      <c r="Q14" s="174">
        <v>1</v>
      </c>
      <c r="R14" s="175"/>
      <c r="S14" s="464" t="s">
        <v>367</v>
      </c>
      <c r="T14" s="464">
        <v>0.04</v>
      </c>
      <c r="U14" s="464" t="s">
        <v>367</v>
      </c>
      <c r="V14" s="464">
        <v>0.32</v>
      </c>
      <c r="W14" s="464">
        <v>0.24</v>
      </c>
      <c r="X14" s="464" t="s">
        <v>367</v>
      </c>
      <c r="Y14" s="464">
        <v>0.24</v>
      </c>
      <c r="Z14" s="464" t="s">
        <v>238</v>
      </c>
      <c r="AA14" s="464">
        <v>0.52</v>
      </c>
      <c r="AB14" s="464" t="s">
        <v>367</v>
      </c>
      <c r="AC14" s="176"/>
      <c r="AD14" s="176"/>
      <c r="AE14" s="176"/>
      <c r="AF14" s="176"/>
      <c r="AG14" s="176"/>
      <c r="AH14" s="176"/>
      <c r="AI14" s="176"/>
      <c r="AJ14" s="176"/>
      <c r="AK14" s="176"/>
      <c r="AL14" s="176"/>
      <c r="AM14" s="176"/>
      <c r="AN14" s="176"/>
      <c r="AO14" s="176"/>
      <c r="AP14" s="176"/>
      <c r="AQ14" s="176"/>
      <c r="AR14" s="176"/>
      <c r="AS14" s="176"/>
      <c r="AT14" s="176"/>
      <c r="AU14" s="176"/>
      <c r="AV14" s="176"/>
      <c r="AW14" s="176"/>
      <c r="AX14" s="176"/>
      <c r="AY14" s="176"/>
      <c r="AZ14" s="176"/>
      <c r="BA14" s="176"/>
      <c r="BB14" s="176"/>
      <c r="BC14" s="176"/>
      <c r="BD14" s="176"/>
      <c r="BE14" s="176"/>
      <c r="BF14" s="176"/>
      <c r="BG14" s="176"/>
      <c r="BH14" s="176"/>
      <c r="BI14" s="176"/>
      <c r="BJ14" s="176"/>
      <c r="BK14" s="176"/>
      <c r="BL14" s="176"/>
      <c r="BM14" s="176"/>
      <c r="BN14" s="176"/>
      <c r="BO14" s="176"/>
      <c r="BP14" s="176"/>
      <c r="BQ14" s="176"/>
      <c r="BR14" s="176"/>
      <c r="BS14" s="176"/>
      <c r="BT14" s="176"/>
      <c r="BU14" s="176"/>
      <c r="BV14" s="176"/>
      <c r="BW14" s="176"/>
      <c r="BX14" s="176"/>
      <c r="BY14" s="176"/>
      <c r="BZ14" s="176"/>
      <c r="CA14" s="176"/>
      <c r="CB14" s="176"/>
      <c r="CC14" s="176"/>
      <c r="CD14" s="176"/>
      <c r="CE14" s="176"/>
      <c r="CF14" s="176"/>
      <c r="CG14" s="176"/>
      <c r="CH14" s="176"/>
      <c r="CI14" s="176"/>
      <c r="CJ14" s="176"/>
      <c r="CK14" s="176"/>
      <c r="CL14" s="176"/>
      <c r="CM14" s="176"/>
      <c r="CN14" s="176"/>
      <c r="CO14" s="176"/>
      <c r="CP14" s="176"/>
      <c r="CQ14" s="176"/>
      <c r="CR14" s="176"/>
      <c r="CS14" s="176"/>
      <c r="CT14" s="176"/>
    </row>
    <row r="15" spans="1:110" ht="15.75" thickBot="1" x14ac:dyDescent="0.3">
      <c r="A15" s="170">
        <f>IF(LEN(Projects!A11)&gt;0,Projects!A11,"")</f>
        <v>9</v>
      </c>
      <c r="B15" s="104" t="str">
        <f>IF(ISNA(VLOOKUP(A15,Projects!A:B,2,FALSE)), "",VLOOKUP(A15,Projects!A:B,2,FALSE))</f>
        <v>Project 9</v>
      </c>
      <c r="C15" s="171">
        <f t="shared" si="4"/>
        <v>5</v>
      </c>
      <c r="D15" s="171">
        <f t="shared" si="5"/>
        <v>5</v>
      </c>
      <c r="E15" s="171">
        <f t="shared" si="6"/>
        <v>1</v>
      </c>
      <c r="F15" s="171">
        <f t="shared" si="7"/>
        <v>5</v>
      </c>
      <c r="G15" s="172">
        <f t="shared" si="8"/>
        <v>0</v>
      </c>
      <c r="H15" s="172">
        <f t="shared" si="9"/>
        <v>0</v>
      </c>
      <c r="I15" s="173">
        <f t="shared" si="10"/>
        <v>4</v>
      </c>
      <c r="J15" s="171">
        <v>1</v>
      </c>
      <c r="K15" s="171">
        <v>1</v>
      </c>
      <c r="L15" s="171">
        <v>1</v>
      </c>
      <c r="M15" s="171">
        <v>1</v>
      </c>
      <c r="N15" s="174">
        <v>5</v>
      </c>
      <c r="O15" s="174">
        <v>7</v>
      </c>
      <c r="P15" s="174">
        <v>4</v>
      </c>
      <c r="Q15" s="174">
        <v>3</v>
      </c>
      <c r="R15" s="175"/>
      <c r="S15" s="464">
        <v>0.08</v>
      </c>
      <c r="T15" s="464">
        <v>0.08</v>
      </c>
      <c r="U15" s="464" t="s">
        <v>367</v>
      </c>
      <c r="V15" s="464" t="s">
        <v>367</v>
      </c>
      <c r="W15" s="464" t="s">
        <v>367</v>
      </c>
      <c r="X15" s="464">
        <v>0.2</v>
      </c>
      <c r="Y15" s="464" t="s">
        <v>367</v>
      </c>
      <c r="Z15" s="464">
        <v>0.16</v>
      </c>
      <c r="AA15" s="464" t="s">
        <v>238</v>
      </c>
      <c r="AB15" s="464">
        <v>0.2</v>
      </c>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76"/>
      <c r="BF15" s="176"/>
      <c r="BG15" s="176"/>
      <c r="BH15" s="176"/>
      <c r="BI15" s="176"/>
      <c r="BJ15" s="176"/>
      <c r="BK15" s="176"/>
      <c r="BL15" s="176"/>
      <c r="BM15" s="176"/>
      <c r="BN15" s="176"/>
      <c r="BO15" s="176"/>
      <c r="BP15" s="176"/>
      <c r="BQ15" s="176"/>
      <c r="BR15" s="176"/>
      <c r="BS15" s="176"/>
      <c r="BT15" s="176"/>
      <c r="BU15" s="176"/>
      <c r="BV15" s="176"/>
      <c r="BW15" s="176"/>
      <c r="BX15" s="176"/>
      <c r="BY15" s="176"/>
      <c r="BZ15" s="176"/>
      <c r="CA15" s="176"/>
      <c r="CB15" s="176"/>
      <c r="CC15" s="176"/>
      <c r="CD15" s="176"/>
      <c r="CE15" s="176"/>
      <c r="CF15" s="176"/>
      <c r="CG15" s="176"/>
      <c r="CH15" s="176"/>
      <c r="CI15" s="176"/>
      <c r="CJ15" s="176"/>
      <c r="CK15" s="176"/>
      <c r="CL15" s="176"/>
      <c r="CM15" s="176"/>
      <c r="CN15" s="176"/>
      <c r="CO15" s="176"/>
      <c r="CP15" s="176"/>
      <c r="CQ15" s="176"/>
      <c r="CR15" s="176"/>
      <c r="CS15" s="176"/>
      <c r="CT15" s="176"/>
    </row>
    <row r="16" spans="1:110" ht="15.75" thickBot="1" x14ac:dyDescent="0.3">
      <c r="A16" s="170">
        <f>IF(LEN(Projects!A12)&gt;0,Projects!A12,"")</f>
        <v>10</v>
      </c>
      <c r="B16" s="104" t="str">
        <f>IF(ISNA(VLOOKUP(A16,Projects!A:B,2,FALSE)), "",VLOOKUP(A16,Projects!A:B,2,FALSE))</f>
        <v>Project 10</v>
      </c>
      <c r="C16" s="171">
        <f t="shared" si="4"/>
        <v>5</v>
      </c>
      <c r="D16" s="171">
        <f t="shared" si="5"/>
        <v>5</v>
      </c>
      <c r="E16" s="171">
        <f t="shared" si="6"/>
        <v>1</v>
      </c>
      <c r="F16" s="171">
        <f t="shared" si="7"/>
        <v>5</v>
      </c>
      <c r="G16" s="172">
        <f t="shared" si="8"/>
        <v>0</v>
      </c>
      <c r="H16" s="172">
        <f t="shared" si="9"/>
        <v>0</v>
      </c>
      <c r="I16" s="173">
        <f t="shared" si="10"/>
        <v>4</v>
      </c>
      <c r="J16" s="171">
        <v>1</v>
      </c>
      <c r="K16" s="171">
        <v>1</v>
      </c>
      <c r="L16" s="171">
        <v>1</v>
      </c>
      <c r="M16" s="171">
        <v>1</v>
      </c>
      <c r="N16" s="174">
        <v>9</v>
      </c>
      <c r="O16" s="174">
        <v>8</v>
      </c>
      <c r="P16" s="174">
        <v>7</v>
      </c>
      <c r="Q16" s="174">
        <v>4</v>
      </c>
      <c r="R16" s="175"/>
      <c r="S16" s="464">
        <v>0.08</v>
      </c>
      <c r="T16" s="464">
        <v>0.04</v>
      </c>
      <c r="U16" s="464">
        <v>0.04</v>
      </c>
      <c r="V16" s="464" t="s">
        <v>367</v>
      </c>
      <c r="W16" s="464">
        <v>0.04</v>
      </c>
      <c r="X16" s="464">
        <v>0.24000000000000005</v>
      </c>
      <c r="Y16" s="464" t="s">
        <v>367</v>
      </c>
      <c r="Z16" s="464" t="s">
        <v>367</v>
      </c>
      <c r="AA16" s="464" t="s">
        <v>367</v>
      </c>
      <c r="AB16" s="464" t="s">
        <v>238</v>
      </c>
      <c r="AC16" s="176"/>
      <c r="AD16" s="176"/>
      <c r="AE16" s="176"/>
      <c r="AF16" s="176"/>
      <c r="AG16" s="176"/>
      <c r="AH16" s="176"/>
      <c r="AI16" s="176"/>
      <c r="AJ16" s="176"/>
      <c r="AK16" s="176"/>
      <c r="AL16" s="176"/>
      <c r="AM16" s="176"/>
      <c r="AN16" s="176"/>
      <c r="AO16" s="176"/>
      <c r="AP16" s="176"/>
      <c r="AQ16" s="176"/>
      <c r="AR16" s="176"/>
      <c r="AS16" s="176"/>
      <c r="AT16" s="176"/>
      <c r="AU16" s="176"/>
      <c r="AV16" s="176"/>
      <c r="AW16" s="176"/>
      <c r="AX16" s="176"/>
      <c r="AY16" s="176"/>
      <c r="AZ16" s="176"/>
      <c r="BA16" s="176"/>
      <c r="BB16" s="176"/>
      <c r="BC16" s="176"/>
      <c r="BD16" s="176"/>
      <c r="BE16" s="176"/>
      <c r="BF16" s="176"/>
      <c r="BG16" s="176"/>
      <c r="BH16" s="176"/>
      <c r="BI16" s="176"/>
      <c r="BJ16" s="176"/>
      <c r="BK16" s="176"/>
      <c r="BL16" s="176"/>
      <c r="BM16" s="176"/>
      <c r="BN16" s="176"/>
      <c r="BO16" s="176"/>
      <c r="BP16" s="176"/>
      <c r="BQ16" s="176"/>
      <c r="BR16" s="176"/>
      <c r="BS16" s="176"/>
      <c r="BT16" s="176"/>
      <c r="BU16" s="176"/>
      <c r="BV16" s="176"/>
      <c r="BW16" s="176"/>
      <c r="BX16" s="176"/>
      <c r="BY16" s="176"/>
      <c r="BZ16" s="176"/>
      <c r="CA16" s="176"/>
      <c r="CB16" s="176"/>
      <c r="CC16" s="176"/>
      <c r="CD16" s="176"/>
      <c r="CE16" s="176"/>
      <c r="CF16" s="176"/>
      <c r="CG16" s="176"/>
      <c r="CH16" s="176"/>
      <c r="CI16" s="176"/>
      <c r="CJ16" s="176"/>
      <c r="CK16" s="176"/>
      <c r="CL16" s="176"/>
      <c r="CM16" s="176"/>
      <c r="CN16" s="176"/>
      <c r="CO16" s="176"/>
      <c r="CP16" s="176"/>
      <c r="CQ16" s="176"/>
      <c r="CR16" s="176"/>
      <c r="CS16" s="176"/>
      <c r="CT16" s="176"/>
    </row>
    <row r="17" spans="1:98" ht="15.75" thickBot="1" x14ac:dyDescent="0.3">
      <c r="A17" s="170">
        <f>IF(LEN(Projects!A13)&gt;0,Projects!A13,"")</f>
        <v>11</v>
      </c>
      <c r="B17" s="104" t="str">
        <f>IF(ISNA(VLOOKUP(A17,Projects!A:B,2,FALSE)), "",VLOOKUP(A17,Projects!A:B,2,FALSE))</f>
        <v>Project 11</v>
      </c>
      <c r="C17" s="171">
        <f t="shared" si="4"/>
        <v>5</v>
      </c>
      <c r="D17" s="171">
        <f t="shared" si="5"/>
        <v>5</v>
      </c>
      <c r="E17" s="171">
        <f t="shared" si="6"/>
        <v>1</v>
      </c>
      <c r="F17" s="171">
        <f t="shared" si="7"/>
        <v>5</v>
      </c>
      <c r="G17" s="172">
        <f t="shared" si="8"/>
        <v>0</v>
      </c>
      <c r="H17" s="172">
        <f t="shared" si="9"/>
        <v>0</v>
      </c>
      <c r="I17" s="173">
        <f t="shared" si="10"/>
        <v>4</v>
      </c>
      <c r="J17" s="171">
        <v>1</v>
      </c>
      <c r="K17" s="171">
        <v>1</v>
      </c>
      <c r="L17" s="171">
        <v>1</v>
      </c>
      <c r="M17" s="171">
        <v>1</v>
      </c>
      <c r="N17" s="174">
        <v>10</v>
      </c>
      <c r="O17" s="174">
        <v>9</v>
      </c>
      <c r="P17" s="174">
        <v>8</v>
      </c>
      <c r="Q17" s="174">
        <v>4</v>
      </c>
      <c r="R17" s="175"/>
      <c r="S17" s="464" t="s">
        <v>238</v>
      </c>
      <c r="T17" s="464">
        <v>0.16</v>
      </c>
      <c r="U17" s="464">
        <v>0.16</v>
      </c>
      <c r="V17" s="464" t="s">
        <v>367</v>
      </c>
      <c r="W17" s="464">
        <v>0.04</v>
      </c>
      <c r="X17" s="464">
        <v>0.32</v>
      </c>
      <c r="Y17" s="464">
        <v>0.08</v>
      </c>
      <c r="Z17" s="464" t="s">
        <v>367</v>
      </c>
      <c r="AA17" s="464" t="s">
        <v>367</v>
      </c>
      <c r="AB17" s="464" t="s">
        <v>367</v>
      </c>
      <c r="AC17" s="176"/>
      <c r="AD17" s="176"/>
      <c r="AE17" s="176"/>
      <c r="AF17" s="176"/>
      <c r="AG17" s="176"/>
      <c r="AH17" s="176"/>
      <c r="AI17" s="176"/>
      <c r="AJ17" s="176"/>
      <c r="AK17" s="176"/>
      <c r="AL17" s="176"/>
      <c r="AM17" s="176"/>
      <c r="AN17" s="176"/>
      <c r="AO17" s="176"/>
      <c r="AP17" s="176"/>
      <c r="AQ17" s="176"/>
      <c r="AR17" s="176"/>
      <c r="AS17" s="176"/>
      <c r="AT17" s="176"/>
      <c r="AU17" s="176"/>
      <c r="AV17" s="176"/>
      <c r="AW17" s="176"/>
      <c r="AX17" s="176"/>
      <c r="AY17" s="176"/>
      <c r="AZ17" s="176"/>
      <c r="BA17" s="176"/>
      <c r="BB17" s="176"/>
      <c r="BC17" s="176"/>
      <c r="BD17" s="176"/>
      <c r="BE17" s="176"/>
      <c r="BF17" s="176"/>
      <c r="BG17" s="176"/>
      <c r="BH17" s="176"/>
      <c r="BI17" s="176"/>
      <c r="BJ17" s="176"/>
      <c r="BK17" s="176"/>
      <c r="BL17" s="176"/>
      <c r="BM17" s="176"/>
      <c r="BN17" s="176"/>
      <c r="BO17" s="176"/>
      <c r="BP17" s="176"/>
      <c r="BQ17" s="176"/>
      <c r="BR17" s="176"/>
      <c r="BS17" s="176"/>
      <c r="BT17" s="17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176"/>
      <c r="CS17" s="176"/>
      <c r="CT17" s="176"/>
    </row>
    <row r="18" spans="1:98" ht="15.75" thickBot="1" x14ac:dyDescent="0.3">
      <c r="A18" s="170">
        <f>IF(LEN(Projects!A14)&gt;0,Projects!A14,"")</f>
        <v>12</v>
      </c>
      <c r="B18" s="104" t="str">
        <f>IF(ISNA(VLOOKUP(A18,Projects!A:B,2,FALSE)), "",VLOOKUP(A18,Projects!A:B,2,FALSE))</f>
        <v>Project 12</v>
      </c>
      <c r="C18" s="171">
        <f t="shared" si="4"/>
        <v>6</v>
      </c>
      <c r="D18" s="171">
        <f t="shared" si="5"/>
        <v>4</v>
      </c>
      <c r="E18" s="171">
        <f t="shared" si="6"/>
        <v>1</v>
      </c>
      <c r="F18" s="171">
        <f t="shared" si="7"/>
        <v>4</v>
      </c>
      <c r="G18" s="172">
        <f t="shared" si="8"/>
        <v>1</v>
      </c>
      <c r="H18" s="172">
        <f t="shared" si="9"/>
        <v>0</v>
      </c>
      <c r="I18" s="173">
        <f t="shared" si="10"/>
        <v>6</v>
      </c>
      <c r="J18" s="171">
        <v>2</v>
      </c>
      <c r="K18" s="171">
        <v>2</v>
      </c>
      <c r="L18" s="171">
        <v>1</v>
      </c>
      <c r="M18" s="171">
        <v>1</v>
      </c>
      <c r="N18" s="174">
        <v>8</v>
      </c>
      <c r="O18" s="174">
        <v>3</v>
      </c>
      <c r="P18" s="174">
        <v>7</v>
      </c>
      <c r="Q18" s="174">
        <v>1</v>
      </c>
      <c r="R18" s="175"/>
      <c r="S18" s="464" t="s">
        <v>367</v>
      </c>
      <c r="T18" s="464" t="s">
        <v>238</v>
      </c>
      <c r="U18" s="464" t="s">
        <v>367</v>
      </c>
      <c r="V18" s="464">
        <v>0.32</v>
      </c>
      <c r="W18" s="464">
        <v>0.24</v>
      </c>
      <c r="X18" s="464">
        <v>0.28000000000000003</v>
      </c>
      <c r="Y18" s="464" t="s">
        <v>367</v>
      </c>
      <c r="Z18" s="464" t="s">
        <v>367</v>
      </c>
      <c r="AA18" s="464">
        <v>0.44000000000000006</v>
      </c>
      <c r="AB18" s="464">
        <v>0.27999999999999997</v>
      </c>
      <c r="AC18" s="176"/>
      <c r="AD18" s="176"/>
      <c r="AE18" s="176"/>
      <c r="AF18" s="176"/>
      <c r="AG18" s="176"/>
      <c r="AH18" s="176"/>
      <c r="AI18" s="176"/>
      <c r="AJ18" s="176"/>
      <c r="AK18" s="176"/>
      <c r="AL18" s="176"/>
      <c r="AM18" s="176"/>
      <c r="AN18" s="176"/>
      <c r="AO18" s="176"/>
      <c r="AP18" s="176"/>
      <c r="AQ18" s="176"/>
      <c r="AR18" s="176"/>
      <c r="AS18" s="176"/>
      <c r="AT18" s="176"/>
      <c r="AU18" s="176"/>
      <c r="AV18" s="176"/>
      <c r="AW18" s="176"/>
      <c r="AX18" s="176"/>
      <c r="AY18" s="176"/>
      <c r="AZ18" s="176"/>
      <c r="BA18" s="176"/>
      <c r="BB18" s="176"/>
      <c r="BC18" s="176"/>
      <c r="BD18" s="176"/>
      <c r="BE18" s="176"/>
      <c r="BF18" s="176"/>
      <c r="BG18" s="176"/>
      <c r="BH18" s="176"/>
      <c r="BI18" s="176"/>
      <c r="BJ18" s="176"/>
      <c r="BK18" s="176"/>
      <c r="BL18" s="176"/>
      <c r="BM18" s="176"/>
      <c r="BN18" s="176"/>
      <c r="BO18" s="176"/>
      <c r="BP18" s="176"/>
      <c r="BQ18" s="176"/>
      <c r="BR18" s="176"/>
      <c r="BS18" s="176"/>
      <c r="BT18" s="176"/>
      <c r="BU18" s="176"/>
      <c r="BV18" s="176"/>
      <c r="BW18" s="176"/>
      <c r="BX18" s="176"/>
      <c r="BY18" s="176"/>
      <c r="BZ18" s="176"/>
      <c r="CA18" s="176"/>
      <c r="CB18" s="176"/>
      <c r="CC18" s="176"/>
      <c r="CD18" s="176"/>
      <c r="CE18" s="176"/>
      <c r="CF18" s="176"/>
      <c r="CG18" s="176"/>
      <c r="CH18" s="176"/>
      <c r="CI18" s="176"/>
      <c r="CJ18" s="176"/>
      <c r="CK18" s="176"/>
      <c r="CL18" s="176"/>
      <c r="CM18" s="176"/>
      <c r="CN18" s="176"/>
      <c r="CO18" s="176"/>
      <c r="CP18" s="176"/>
      <c r="CQ18" s="176"/>
      <c r="CR18" s="176"/>
      <c r="CS18" s="176"/>
      <c r="CT18" s="176"/>
    </row>
    <row r="19" spans="1:98" ht="15.75" thickBot="1" x14ac:dyDescent="0.3">
      <c r="A19" s="170">
        <f>IF(LEN(Projects!A15)&gt;0,Projects!A15,"")</f>
        <v>13</v>
      </c>
      <c r="B19" s="104" t="str">
        <f>IF(ISNA(VLOOKUP(A19,Projects!A:B,2,FALSE)), "",VLOOKUP(A19,Projects!A:B,2,FALSE))</f>
        <v>Project 13</v>
      </c>
      <c r="C19" s="171">
        <f t="shared" si="4"/>
        <v>7</v>
      </c>
      <c r="D19" s="171">
        <f t="shared" si="5"/>
        <v>4</v>
      </c>
      <c r="E19" s="171">
        <f t="shared" si="6"/>
        <v>1</v>
      </c>
      <c r="F19" s="171">
        <f t="shared" si="7"/>
        <v>4</v>
      </c>
      <c r="G19" s="172">
        <f t="shared" si="8"/>
        <v>0</v>
      </c>
      <c r="H19" s="172">
        <f t="shared" si="9"/>
        <v>1</v>
      </c>
      <c r="I19" s="173">
        <f t="shared" si="10"/>
        <v>7</v>
      </c>
      <c r="J19" s="171">
        <v>2</v>
      </c>
      <c r="K19" s="171">
        <v>2</v>
      </c>
      <c r="L19" s="171">
        <v>2</v>
      </c>
      <c r="M19" s="171">
        <v>1</v>
      </c>
      <c r="N19" s="174">
        <v>8</v>
      </c>
      <c r="O19" s="174">
        <v>10</v>
      </c>
      <c r="P19" s="174">
        <v>6</v>
      </c>
      <c r="Q19" s="174">
        <v>2</v>
      </c>
      <c r="R19" s="175"/>
      <c r="S19" s="464">
        <v>0.12</v>
      </c>
      <c r="T19" s="464" t="s">
        <v>367</v>
      </c>
      <c r="U19" s="464" t="s">
        <v>238</v>
      </c>
      <c r="V19" s="464">
        <v>0.24</v>
      </c>
      <c r="W19" s="464">
        <v>0.24</v>
      </c>
      <c r="X19" s="464" t="s">
        <v>367</v>
      </c>
      <c r="Y19" s="464">
        <v>0.27999999999999997</v>
      </c>
      <c r="Z19" s="464" t="s">
        <v>367</v>
      </c>
      <c r="AA19" s="464">
        <v>0.84</v>
      </c>
      <c r="AB19" s="464" t="s">
        <v>367</v>
      </c>
      <c r="AC19" s="176"/>
      <c r="AD19" s="176"/>
      <c r="AE19" s="176"/>
      <c r="AF19" s="176"/>
      <c r="AG19" s="176"/>
      <c r="AH19" s="176"/>
      <c r="AI19" s="176"/>
      <c r="AJ19" s="176"/>
      <c r="AK19" s="176"/>
      <c r="AL19" s="176"/>
      <c r="AM19" s="176"/>
      <c r="AN19" s="176"/>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c r="CS19" s="176"/>
      <c r="CT19" s="176"/>
    </row>
    <row r="20" spans="1:98" ht="15.75" thickBot="1" x14ac:dyDescent="0.3">
      <c r="A20" s="170">
        <f>IF(LEN(Projects!A16)&gt;0,Projects!A16,"")</f>
        <v>14</v>
      </c>
      <c r="B20" s="104" t="str">
        <f>IF(ISNA(VLOOKUP(A20,Projects!A:B,2,FALSE)), "",VLOOKUP(A20,Projects!A:B,2,FALSE))</f>
        <v>Project 14</v>
      </c>
      <c r="C20" s="171">
        <f t="shared" si="4"/>
        <v>5</v>
      </c>
      <c r="D20" s="171">
        <f t="shared" si="5"/>
        <v>3</v>
      </c>
      <c r="E20" s="171">
        <f t="shared" si="6"/>
        <v>1</v>
      </c>
      <c r="F20" s="171">
        <f t="shared" si="7"/>
        <v>3</v>
      </c>
      <c r="G20" s="172">
        <f t="shared" si="8"/>
        <v>1</v>
      </c>
      <c r="H20" s="172">
        <f t="shared" si="9"/>
        <v>0</v>
      </c>
      <c r="I20" s="173">
        <f t="shared" si="10"/>
        <v>6</v>
      </c>
      <c r="J20" s="171">
        <v>2</v>
      </c>
      <c r="K20" s="171">
        <v>2</v>
      </c>
      <c r="L20" s="171">
        <v>1</v>
      </c>
      <c r="M20" s="171">
        <v>1</v>
      </c>
      <c r="N20" s="174">
        <v>10</v>
      </c>
      <c r="O20" s="174">
        <v>6</v>
      </c>
      <c r="P20" s="174">
        <v>7</v>
      </c>
      <c r="Q20" s="174">
        <v>1</v>
      </c>
      <c r="R20" s="175"/>
      <c r="S20" s="464" t="s">
        <v>367</v>
      </c>
      <c r="T20" s="464"/>
      <c r="U20" s="464">
        <v>0.32</v>
      </c>
      <c r="V20" s="464" t="s">
        <v>238</v>
      </c>
      <c r="W20" s="464">
        <v>0.08</v>
      </c>
      <c r="X20" s="464" t="s">
        <v>367</v>
      </c>
      <c r="Y20" s="464" t="s">
        <v>367</v>
      </c>
      <c r="Z20" s="464">
        <v>0.12</v>
      </c>
      <c r="AA20" s="464">
        <v>0.55999999999999994</v>
      </c>
      <c r="AB20" s="464" t="s">
        <v>367</v>
      </c>
      <c r="AC20" s="176"/>
      <c r="AD20" s="176"/>
      <c r="AE20" s="176"/>
      <c r="AF20" s="176"/>
      <c r="AG20" s="176"/>
      <c r="AH20" s="176"/>
      <c r="AI20" s="176"/>
      <c r="AJ20" s="176"/>
      <c r="AK20" s="176"/>
      <c r="AL20" s="176"/>
      <c r="AM20" s="176"/>
      <c r="AN20" s="176"/>
      <c r="AO20" s="176"/>
      <c r="AP20" s="176"/>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row>
    <row r="21" spans="1:98" ht="15.75" thickBot="1" x14ac:dyDescent="0.3">
      <c r="A21" s="170">
        <f>IF(LEN(Projects!A17)&gt;0,Projects!A17,"")</f>
        <v>15</v>
      </c>
      <c r="B21" s="104" t="str">
        <f>IF(ISNA(VLOOKUP(A21,Projects!A:B,2,FALSE)), "",VLOOKUP(A21,Projects!A:B,2,FALSE))</f>
        <v>Project 15</v>
      </c>
      <c r="C21" s="171">
        <f t="shared" si="4"/>
        <v>7</v>
      </c>
      <c r="D21" s="171">
        <f t="shared" si="5"/>
        <v>5</v>
      </c>
      <c r="E21" s="171">
        <f t="shared" si="6"/>
        <v>0</v>
      </c>
      <c r="F21" s="171">
        <f t="shared" si="7"/>
        <v>5</v>
      </c>
      <c r="G21" s="172">
        <f t="shared" si="8"/>
        <v>1</v>
      </c>
      <c r="H21" s="172">
        <f t="shared" si="9"/>
        <v>0</v>
      </c>
      <c r="I21" s="173">
        <f t="shared" si="10"/>
        <v>6</v>
      </c>
      <c r="J21" s="171">
        <v>2</v>
      </c>
      <c r="K21" s="171">
        <v>2</v>
      </c>
      <c r="L21" s="171">
        <v>1</v>
      </c>
      <c r="M21" s="171">
        <v>1</v>
      </c>
      <c r="N21" s="174">
        <v>6</v>
      </c>
      <c r="O21" s="174">
        <v>3</v>
      </c>
      <c r="P21" s="174">
        <v>4</v>
      </c>
      <c r="Q21" s="174">
        <v>2</v>
      </c>
      <c r="R21" s="175"/>
      <c r="S21" s="464">
        <v>0.16</v>
      </c>
      <c r="T21" s="464" t="s">
        <v>367</v>
      </c>
      <c r="U21" s="464" t="s">
        <v>367</v>
      </c>
      <c r="V21" s="464" t="s">
        <v>367</v>
      </c>
      <c r="W21" s="464">
        <v>0.16</v>
      </c>
      <c r="X21" s="464" t="s">
        <v>367</v>
      </c>
      <c r="Y21" s="464">
        <v>0.16</v>
      </c>
      <c r="Z21" s="464">
        <v>0.2</v>
      </c>
      <c r="AA21" s="464">
        <v>0.43999999999999995</v>
      </c>
      <c r="AB21" s="464">
        <v>0.16</v>
      </c>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6"/>
      <c r="CS21" s="176"/>
      <c r="CT21" s="176"/>
    </row>
    <row r="22" spans="1:98" ht="15.75" thickBot="1" x14ac:dyDescent="0.3">
      <c r="A22" s="170">
        <f>IF(LEN(Projects!A18)&gt;0,Projects!A18,"")</f>
        <v>16</v>
      </c>
      <c r="B22" s="104" t="str">
        <f>IF(ISNA(VLOOKUP(A22,Projects!A:B,2,FALSE)), "",VLOOKUP(A22,Projects!A:B,2,FALSE))</f>
        <v>Project 16</v>
      </c>
      <c r="C22" s="171">
        <f t="shared" si="4"/>
        <v>5</v>
      </c>
      <c r="D22" s="171">
        <f t="shared" si="5"/>
        <v>5</v>
      </c>
      <c r="E22" s="171">
        <f t="shared" si="6"/>
        <v>1</v>
      </c>
      <c r="F22" s="171">
        <f t="shared" si="7"/>
        <v>5</v>
      </c>
      <c r="G22" s="172">
        <f t="shared" si="8"/>
        <v>0</v>
      </c>
      <c r="H22" s="172">
        <f t="shared" si="9"/>
        <v>0</v>
      </c>
      <c r="I22" s="173">
        <f t="shared" si="10"/>
        <v>6</v>
      </c>
      <c r="J22" s="171">
        <v>2</v>
      </c>
      <c r="K22" s="171">
        <v>2</v>
      </c>
      <c r="L22" s="171">
        <v>1</v>
      </c>
      <c r="M22" s="171">
        <v>1</v>
      </c>
      <c r="N22" s="174">
        <v>10</v>
      </c>
      <c r="O22" s="174">
        <v>9</v>
      </c>
      <c r="P22" s="174">
        <v>7</v>
      </c>
      <c r="Q22" s="174">
        <v>4</v>
      </c>
      <c r="R22" s="175"/>
      <c r="S22" s="464">
        <v>0.12</v>
      </c>
      <c r="T22" s="464">
        <v>0.04</v>
      </c>
      <c r="U22" s="464">
        <v>0.32</v>
      </c>
      <c r="V22" s="464" t="s">
        <v>367</v>
      </c>
      <c r="W22" s="464">
        <v>0.2</v>
      </c>
      <c r="X22" s="464" t="s">
        <v>238</v>
      </c>
      <c r="Y22" s="464" t="s">
        <v>367</v>
      </c>
      <c r="Z22" s="464">
        <v>0.2</v>
      </c>
      <c r="AA22" s="464" t="s">
        <v>367</v>
      </c>
      <c r="AB22" s="464" t="s">
        <v>367</v>
      </c>
      <c r="AC22" s="176"/>
      <c r="AD22" s="176"/>
      <c r="AE22" s="176"/>
      <c r="AF22" s="176"/>
      <c r="AG22" s="176"/>
      <c r="AH22" s="176"/>
      <c r="AI22" s="176"/>
      <c r="AJ22" s="176"/>
      <c r="AK22" s="176"/>
      <c r="AL22" s="176"/>
      <c r="AM22" s="176"/>
      <c r="AN22" s="176"/>
      <c r="AO22" s="176"/>
      <c r="AP22" s="176"/>
      <c r="AQ22" s="176"/>
      <c r="AR22" s="176"/>
      <c r="AS22" s="176"/>
      <c r="AT22" s="176"/>
      <c r="AU22" s="176"/>
      <c r="AV22" s="176"/>
      <c r="AW22" s="176"/>
      <c r="AX22" s="176"/>
      <c r="AY22" s="176"/>
      <c r="AZ22" s="176"/>
      <c r="BA22" s="176"/>
      <c r="BB22" s="176"/>
      <c r="BC22" s="176"/>
      <c r="BD22" s="176"/>
      <c r="BE22" s="176"/>
      <c r="BF22" s="176"/>
      <c r="BG22" s="176"/>
      <c r="BH22" s="176"/>
      <c r="BI22" s="176"/>
      <c r="BJ22" s="176"/>
      <c r="BK22" s="176"/>
      <c r="BL22" s="176"/>
      <c r="BM22" s="176"/>
      <c r="BN22" s="176"/>
      <c r="BO22" s="176"/>
      <c r="BP22" s="176"/>
      <c r="BQ22" s="176"/>
      <c r="BR22" s="176"/>
      <c r="BS22" s="176"/>
      <c r="BT22" s="176"/>
      <c r="BU22" s="176"/>
      <c r="BV22" s="176"/>
      <c r="BW22" s="176"/>
      <c r="BX22" s="176"/>
      <c r="BY22" s="176"/>
      <c r="BZ22" s="176"/>
      <c r="CA22" s="176"/>
      <c r="CB22" s="176"/>
      <c r="CC22" s="176"/>
      <c r="CD22" s="176"/>
      <c r="CE22" s="176"/>
      <c r="CF22" s="176"/>
      <c r="CG22" s="176"/>
      <c r="CH22" s="176"/>
      <c r="CI22" s="176"/>
      <c r="CJ22" s="176"/>
      <c r="CK22" s="176"/>
      <c r="CL22" s="176"/>
      <c r="CM22" s="176"/>
      <c r="CN22" s="176"/>
      <c r="CO22" s="176"/>
      <c r="CP22" s="176"/>
      <c r="CQ22" s="176"/>
      <c r="CR22" s="176"/>
      <c r="CS22" s="176"/>
      <c r="CT22" s="176"/>
    </row>
    <row r="23" spans="1:98" ht="15.75" thickBot="1" x14ac:dyDescent="0.3">
      <c r="A23" s="170">
        <f>IF(LEN(Projects!A19)&gt;0,Projects!A19,"")</f>
        <v>17</v>
      </c>
      <c r="B23" s="104" t="str">
        <f>IF(ISNA(VLOOKUP(A23,Projects!A:B,2,FALSE)), "",VLOOKUP(A23,Projects!A:B,2,FALSE))</f>
        <v>Project 17</v>
      </c>
      <c r="C23" s="171">
        <f t="shared" si="4"/>
        <v>6</v>
      </c>
      <c r="D23" s="171">
        <f t="shared" si="5"/>
        <v>4</v>
      </c>
      <c r="E23" s="171">
        <f t="shared" si="6"/>
        <v>1</v>
      </c>
      <c r="F23" s="171">
        <f t="shared" si="7"/>
        <v>4</v>
      </c>
      <c r="G23" s="172">
        <f t="shared" si="8"/>
        <v>1</v>
      </c>
      <c r="H23" s="172">
        <f t="shared" si="9"/>
        <v>0</v>
      </c>
      <c r="I23" s="173">
        <f t="shared" si="10"/>
        <v>6</v>
      </c>
      <c r="J23" s="171">
        <v>2</v>
      </c>
      <c r="K23" s="171">
        <v>2</v>
      </c>
      <c r="L23" s="171">
        <v>1</v>
      </c>
      <c r="M23" s="171">
        <v>1</v>
      </c>
      <c r="N23" s="174">
        <v>6</v>
      </c>
      <c r="O23" s="174">
        <v>3</v>
      </c>
      <c r="P23" s="174">
        <v>5</v>
      </c>
      <c r="Q23" s="174">
        <v>2</v>
      </c>
      <c r="R23" s="175"/>
      <c r="S23" s="464">
        <v>0.2</v>
      </c>
      <c r="T23" s="464" t="s">
        <v>367</v>
      </c>
      <c r="U23" s="464" t="s">
        <v>367</v>
      </c>
      <c r="V23" s="464">
        <v>0.32</v>
      </c>
      <c r="W23" s="464" t="s">
        <v>367</v>
      </c>
      <c r="X23" s="464" t="s">
        <v>367</v>
      </c>
      <c r="Y23" s="464" t="s">
        <v>238</v>
      </c>
      <c r="Z23" s="464">
        <v>0.08</v>
      </c>
      <c r="AA23" s="464">
        <v>0.36</v>
      </c>
      <c r="AB23" s="464">
        <v>0.24000000000000005</v>
      </c>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176"/>
      <c r="CL23" s="176"/>
      <c r="CM23" s="176"/>
      <c r="CN23" s="176"/>
      <c r="CO23" s="176"/>
      <c r="CP23" s="176"/>
      <c r="CQ23" s="176"/>
      <c r="CR23" s="176"/>
      <c r="CS23" s="176"/>
      <c r="CT23" s="176"/>
    </row>
    <row r="24" spans="1:98" ht="15.75" thickBot="1" x14ac:dyDescent="0.3">
      <c r="A24" s="170">
        <f>IF(LEN(Projects!A20)&gt;0,Projects!A20,"")</f>
        <v>18</v>
      </c>
      <c r="B24" s="104" t="str">
        <f>IF(ISNA(VLOOKUP(A24,Projects!A:B,2,FALSE)), "",VLOOKUP(A24,Projects!A:B,2,FALSE))</f>
        <v>Project 18</v>
      </c>
      <c r="C24" s="171">
        <f t="shared" si="4"/>
        <v>5</v>
      </c>
      <c r="D24" s="171">
        <f t="shared" si="5"/>
        <v>5</v>
      </c>
      <c r="E24" s="171">
        <f t="shared" si="6"/>
        <v>1</v>
      </c>
      <c r="F24" s="171">
        <f t="shared" si="7"/>
        <v>5</v>
      </c>
      <c r="G24" s="172">
        <f t="shared" si="8"/>
        <v>0</v>
      </c>
      <c r="H24" s="172">
        <f t="shared" si="9"/>
        <v>0</v>
      </c>
      <c r="I24" s="173">
        <f t="shared" si="10"/>
        <v>6</v>
      </c>
      <c r="J24" s="171">
        <v>2</v>
      </c>
      <c r="K24" s="171">
        <v>2</v>
      </c>
      <c r="L24" s="171">
        <v>1</v>
      </c>
      <c r="M24" s="171">
        <v>1</v>
      </c>
      <c r="N24" s="174">
        <v>3</v>
      </c>
      <c r="O24" s="174">
        <v>9</v>
      </c>
      <c r="P24" s="174">
        <v>10</v>
      </c>
      <c r="Q24" s="174">
        <v>7</v>
      </c>
      <c r="R24" s="175"/>
      <c r="S24" s="464">
        <v>0.12</v>
      </c>
      <c r="T24" s="464">
        <v>0.12</v>
      </c>
      <c r="U24" s="464" t="s">
        <v>367</v>
      </c>
      <c r="V24" s="464">
        <v>0.16</v>
      </c>
      <c r="W24" s="464">
        <v>0.24000000000000005</v>
      </c>
      <c r="X24" s="464">
        <v>0.24000000000000005</v>
      </c>
      <c r="Y24" s="464" t="s">
        <v>367</v>
      </c>
      <c r="Z24" s="464" t="s">
        <v>238</v>
      </c>
      <c r="AA24" s="464" t="s">
        <v>367</v>
      </c>
      <c r="AB24" s="464" t="s">
        <v>367</v>
      </c>
      <c r="AC24" s="176"/>
      <c r="AD24" s="176"/>
      <c r="AE24" s="176"/>
      <c r="AF24" s="176"/>
      <c r="AG24" s="176"/>
      <c r="AH24" s="176"/>
      <c r="AI24" s="176"/>
      <c r="AJ24" s="176"/>
      <c r="AK24" s="176"/>
      <c r="AL24" s="176"/>
      <c r="AM24" s="176"/>
      <c r="AN24" s="176"/>
      <c r="AO24" s="176"/>
      <c r="AP24" s="176"/>
      <c r="AQ24" s="176"/>
      <c r="AR24" s="176"/>
      <c r="AS24" s="176"/>
      <c r="AT24" s="176"/>
      <c r="AU24" s="176"/>
      <c r="AV24" s="176"/>
      <c r="AW24" s="176"/>
      <c r="AX24" s="176"/>
      <c r="AY24" s="176"/>
      <c r="AZ24" s="176"/>
      <c r="BA24" s="176"/>
      <c r="BB24" s="176"/>
      <c r="BC24" s="176"/>
      <c r="BD24" s="176"/>
      <c r="BE24" s="176"/>
      <c r="BF24" s="176"/>
      <c r="BG24" s="176"/>
      <c r="BH24" s="176"/>
      <c r="BI24" s="176"/>
      <c r="BJ24" s="176"/>
      <c r="BK24" s="176"/>
      <c r="BL24" s="176"/>
      <c r="BM24" s="176"/>
      <c r="BN24" s="176"/>
      <c r="BO24" s="176"/>
      <c r="BP24" s="176"/>
      <c r="BQ24" s="176"/>
      <c r="BR24" s="176"/>
      <c r="BS24" s="176"/>
      <c r="BT24" s="176"/>
      <c r="BU24" s="176"/>
      <c r="BV24" s="176"/>
      <c r="BW24" s="176"/>
      <c r="BX24" s="176"/>
      <c r="BY24" s="176"/>
      <c r="BZ24" s="176"/>
      <c r="CA24" s="176"/>
      <c r="CB24" s="176"/>
      <c r="CC24" s="176"/>
      <c r="CD24" s="176"/>
      <c r="CE24" s="176"/>
      <c r="CF24" s="176"/>
      <c r="CG24" s="176"/>
      <c r="CH24" s="176"/>
      <c r="CI24" s="176"/>
      <c r="CJ24" s="176"/>
      <c r="CK24" s="176"/>
      <c r="CL24" s="176"/>
      <c r="CM24" s="176"/>
      <c r="CN24" s="176"/>
      <c r="CO24" s="176"/>
      <c r="CP24" s="176"/>
      <c r="CQ24" s="176"/>
      <c r="CR24" s="176"/>
      <c r="CS24" s="176"/>
      <c r="CT24" s="176"/>
    </row>
    <row r="25" spans="1:98" ht="15.75" thickBot="1" x14ac:dyDescent="0.3">
      <c r="A25" s="170">
        <f>IF(LEN(Projects!A21)&gt;0,Projects!A21,"")</f>
        <v>19</v>
      </c>
      <c r="B25" s="104" t="str">
        <f>IF(ISNA(VLOOKUP(A25,Projects!A:B,2,FALSE)), "",VLOOKUP(A25,Projects!A:B,2,FALSE))</f>
        <v>Project 19</v>
      </c>
      <c r="C25" s="171">
        <f t="shared" si="4"/>
        <v>5</v>
      </c>
      <c r="D25" s="171">
        <f t="shared" si="5"/>
        <v>5</v>
      </c>
      <c r="E25" s="171">
        <f t="shared" si="6"/>
        <v>1</v>
      </c>
      <c r="F25" s="171">
        <f t="shared" si="7"/>
        <v>5</v>
      </c>
      <c r="G25" s="172">
        <f t="shared" si="8"/>
        <v>0</v>
      </c>
      <c r="H25" s="172">
        <f t="shared" si="9"/>
        <v>0</v>
      </c>
      <c r="I25" s="173">
        <f t="shared" si="10"/>
        <v>7</v>
      </c>
      <c r="J25" s="171">
        <v>2</v>
      </c>
      <c r="K25" s="171">
        <v>2</v>
      </c>
      <c r="L25" s="171">
        <v>2</v>
      </c>
      <c r="M25" s="171">
        <v>1</v>
      </c>
      <c r="N25" s="174">
        <v>5</v>
      </c>
      <c r="O25" s="174">
        <v>3</v>
      </c>
      <c r="P25" s="174">
        <v>4</v>
      </c>
      <c r="Q25" s="174">
        <v>7</v>
      </c>
      <c r="R25" s="175"/>
      <c r="S25" s="464">
        <v>0.16</v>
      </c>
      <c r="T25" s="464">
        <v>0.08</v>
      </c>
      <c r="U25" s="464" t="s">
        <v>367</v>
      </c>
      <c r="V25" s="464" t="s">
        <v>367</v>
      </c>
      <c r="W25" s="464" t="s">
        <v>367</v>
      </c>
      <c r="X25" s="464">
        <v>0.32</v>
      </c>
      <c r="Y25" s="464" t="s">
        <v>367</v>
      </c>
      <c r="Z25" s="464">
        <v>0.24</v>
      </c>
      <c r="AA25" s="464" t="s">
        <v>238</v>
      </c>
      <c r="AB25" s="464">
        <v>0.27999999999999997</v>
      </c>
      <c r="AC25" s="176"/>
      <c r="AD25" s="176"/>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76"/>
      <c r="BF25" s="176"/>
      <c r="BG25" s="176"/>
      <c r="BH25" s="176"/>
      <c r="BI25" s="176"/>
      <c r="BJ25" s="176"/>
      <c r="BK25" s="176"/>
      <c r="BL25" s="176"/>
      <c r="BM25" s="176"/>
      <c r="BN25" s="176"/>
      <c r="BO25" s="176"/>
      <c r="BP25" s="176"/>
      <c r="BQ25" s="176"/>
      <c r="BR25" s="176"/>
      <c r="BS25" s="176"/>
      <c r="BT25" s="176"/>
      <c r="BU25" s="176"/>
      <c r="BV25" s="176"/>
      <c r="BW25" s="176"/>
      <c r="BX25" s="176"/>
      <c r="BY25" s="176"/>
      <c r="BZ25" s="176"/>
      <c r="CA25" s="176"/>
      <c r="CB25" s="176"/>
      <c r="CC25" s="176"/>
      <c r="CD25" s="176"/>
      <c r="CE25" s="176"/>
      <c r="CF25" s="176"/>
      <c r="CG25" s="176"/>
      <c r="CH25" s="176"/>
      <c r="CI25" s="176"/>
      <c r="CJ25" s="176"/>
      <c r="CK25" s="176"/>
      <c r="CL25" s="176"/>
      <c r="CM25" s="176"/>
      <c r="CN25" s="176"/>
      <c r="CO25" s="176"/>
      <c r="CP25" s="176"/>
      <c r="CQ25" s="176"/>
      <c r="CR25" s="176"/>
      <c r="CS25" s="176"/>
      <c r="CT25" s="176"/>
    </row>
    <row r="26" spans="1:98" ht="15.75" thickBot="1" x14ac:dyDescent="0.3">
      <c r="A26" s="170">
        <f>IF(LEN(Projects!A22)&gt;0,Projects!A22,"")</f>
        <v>20</v>
      </c>
      <c r="B26" s="104" t="str">
        <f>IF(ISNA(VLOOKUP(A26,Projects!A:B,2,FALSE)), "",VLOOKUP(A26,Projects!A:B,2,FALSE))</f>
        <v>Project 20</v>
      </c>
      <c r="C26" s="171">
        <f t="shared" si="4"/>
        <v>6</v>
      </c>
      <c r="D26" s="171">
        <f t="shared" si="5"/>
        <v>4</v>
      </c>
      <c r="E26" s="171">
        <f t="shared" si="6"/>
        <v>1</v>
      </c>
      <c r="F26" s="171">
        <f t="shared" si="7"/>
        <v>4</v>
      </c>
      <c r="G26" s="172">
        <f t="shared" si="8"/>
        <v>1</v>
      </c>
      <c r="H26" s="172">
        <f t="shared" si="9"/>
        <v>0</v>
      </c>
      <c r="I26" s="173">
        <f t="shared" si="10"/>
        <v>7</v>
      </c>
      <c r="J26" s="171">
        <v>2</v>
      </c>
      <c r="K26" s="171">
        <v>2</v>
      </c>
      <c r="L26" s="171">
        <v>2</v>
      </c>
      <c r="M26" s="171">
        <v>1</v>
      </c>
      <c r="N26" s="174">
        <v>4</v>
      </c>
      <c r="O26" s="174">
        <v>6</v>
      </c>
      <c r="P26" s="174">
        <v>8</v>
      </c>
      <c r="Q26" s="174">
        <v>1</v>
      </c>
      <c r="R26" s="175"/>
      <c r="S26" s="464" t="s">
        <v>367</v>
      </c>
      <c r="T26" s="464">
        <v>0.16</v>
      </c>
      <c r="U26" s="464">
        <v>0.36</v>
      </c>
      <c r="V26" s="464" t="s">
        <v>367</v>
      </c>
      <c r="W26" s="464">
        <v>0.28000000000000003</v>
      </c>
      <c r="X26" s="464" t="s">
        <v>367</v>
      </c>
      <c r="Y26" s="464">
        <v>0.12</v>
      </c>
      <c r="Z26" s="464" t="s">
        <v>367</v>
      </c>
      <c r="AA26" s="464">
        <v>0.32</v>
      </c>
      <c r="AB26" s="464" t="s">
        <v>238</v>
      </c>
      <c r="AC26" s="176"/>
      <c r="AD26" s="176"/>
      <c r="AE26" s="176"/>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c r="CS26" s="176"/>
      <c r="CT26" s="176"/>
    </row>
    <row r="27" spans="1:98" ht="15.75" thickBot="1" x14ac:dyDescent="0.3">
      <c r="A27" s="170">
        <f>IF(LEN(Projects!A23)&gt;0,Projects!A23,"")</f>
        <v>21</v>
      </c>
      <c r="B27" s="104" t="str">
        <f>IF(ISNA(VLOOKUP(A27,Projects!A:B,2,FALSE)), "",VLOOKUP(A27,Projects!A:B,2,FALSE))</f>
        <v>Project 21</v>
      </c>
      <c r="C27" s="171">
        <f t="shared" si="4"/>
        <v>5</v>
      </c>
      <c r="D27" s="171">
        <f t="shared" si="5"/>
        <v>5</v>
      </c>
      <c r="E27" s="171">
        <f t="shared" si="6"/>
        <v>1</v>
      </c>
      <c r="F27" s="171">
        <f t="shared" si="7"/>
        <v>5</v>
      </c>
      <c r="G27" s="172">
        <f t="shared" si="8"/>
        <v>0</v>
      </c>
      <c r="H27" s="172">
        <f t="shared" si="9"/>
        <v>0</v>
      </c>
      <c r="I27" s="173">
        <f t="shared" si="10"/>
        <v>6</v>
      </c>
      <c r="J27" s="171">
        <v>2</v>
      </c>
      <c r="K27" s="171">
        <v>2</v>
      </c>
      <c r="L27" s="171">
        <v>1</v>
      </c>
      <c r="M27" s="171">
        <v>1</v>
      </c>
      <c r="N27" s="174">
        <v>3</v>
      </c>
      <c r="O27" s="174">
        <v>9</v>
      </c>
      <c r="P27" s="174">
        <v>5</v>
      </c>
      <c r="Q27" s="174">
        <v>4</v>
      </c>
      <c r="R27" s="175"/>
      <c r="S27" s="464" t="s">
        <v>238</v>
      </c>
      <c r="T27" s="464">
        <v>0.08</v>
      </c>
      <c r="U27" s="464" t="s">
        <v>367</v>
      </c>
      <c r="V27" s="464" t="s">
        <v>367</v>
      </c>
      <c r="W27" s="464" t="s">
        <v>367</v>
      </c>
      <c r="X27" s="464">
        <v>0.28000000000000003</v>
      </c>
      <c r="Y27" s="464">
        <v>0.28000000000000003</v>
      </c>
      <c r="Z27" s="464">
        <v>0.12</v>
      </c>
      <c r="AA27" s="464" t="s">
        <v>367</v>
      </c>
      <c r="AB27" s="464">
        <v>0.2</v>
      </c>
      <c r="AC27" s="176"/>
      <c r="AD27" s="176"/>
      <c r="AE27" s="176"/>
      <c r="AF27" s="176"/>
      <c r="AG27" s="176"/>
      <c r="AH27" s="176"/>
      <c r="AI27" s="176"/>
      <c r="AJ27" s="176"/>
      <c r="AK27" s="176"/>
      <c r="AL27" s="176"/>
      <c r="AM27" s="176"/>
      <c r="AN27" s="176"/>
      <c r="AO27" s="176"/>
      <c r="AP27" s="176"/>
      <c r="AQ27" s="176"/>
      <c r="AR27" s="176"/>
      <c r="AS27" s="176"/>
      <c r="AT27" s="176"/>
      <c r="AU27" s="176"/>
      <c r="AV27" s="176"/>
      <c r="AW27" s="176"/>
      <c r="AX27" s="176"/>
      <c r="AY27" s="176"/>
      <c r="AZ27" s="176"/>
      <c r="BA27" s="176"/>
      <c r="BB27" s="176"/>
      <c r="BC27" s="176"/>
      <c r="BD27" s="176"/>
      <c r="BE27" s="176"/>
      <c r="BF27" s="176"/>
      <c r="BG27" s="176"/>
      <c r="BH27" s="176"/>
      <c r="BI27" s="176"/>
      <c r="BJ27" s="176"/>
      <c r="BK27" s="176"/>
      <c r="BL27" s="176"/>
      <c r="BM27" s="176"/>
      <c r="BN27" s="176"/>
      <c r="BO27" s="176"/>
      <c r="BP27" s="176"/>
      <c r="BQ27" s="176"/>
      <c r="BR27" s="176"/>
      <c r="BS27" s="176"/>
      <c r="BT27" s="176"/>
      <c r="BU27" s="176"/>
      <c r="BV27" s="176"/>
      <c r="BW27" s="176"/>
      <c r="BX27" s="176"/>
      <c r="BY27" s="176"/>
      <c r="BZ27" s="176"/>
      <c r="CA27" s="176"/>
      <c r="CB27" s="176"/>
      <c r="CC27" s="176"/>
      <c r="CD27" s="176"/>
      <c r="CE27" s="176"/>
      <c r="CF27" s="176"/>
      <c r="CG27" s="176"/>
      <c r="CH27" s="176"/>
      <c r="CI27" s="176"/>
      <c r="CJ27" s="176"/>
      <c r="CK27" s="176"/>
      <c r="CL27" s="176"/>
      <c r="CM27" s="176"/>
      <c r="CN27" s="176"/>
      <c r="CO27" s="176"/>
      <c r="CP27" s="176"/>
      <c r="CQ27" s="176"/>
      <c r="CR27" s="176"/>
      <c r="CS27" s="176"/>
      <c r="CT27" s="176"/>
    </row>
    <row r="28" spans="1:98" ht="15.75" thickBot="1" x14ac:dyDescent="0.3">
      <c r="A28" s="170">
        <f>IF(LEN(Projects!A24)&gt;0,Projects!A24,"")</f>
        <v>22</v>
      </c>
      <c r="B28" s="104" t="str">
        <f>IF(ISNA(VLOOKUP(A28,Projects!A:B,2,FALSE)), "",VLOOKUP(A28,Projects!A:B,2,FALSE))</f>
        <v>Project 22</v>
      </c>
      <c r="C28" s="171">
        <f t="shared" si="4"/>
        <v>5</v>
      </c>
      <c r="D28" s="171">
        <f t="shared" si="5"/>
        <v>5</v>
      </c>
      <c r="E28" s="171">
        <f t="shared" si="6"/>
        <v>1</v>
      </c>
      <c r="F28" s="171">
        <f t="shared" si="7"/>
        <v>5</v>
      </c>
      <c r="G28" s="172">
        <f t="shared" si="8"/>
        <v>0</v>
      </c>
      <c r="H28" s="172">
        <f t="shared" si="9"/>
        <v>0</v>
      </c>
      <c r="I28" s="173">
        <f t="shared" si="10"/>
        <v>5</v>
      </c>
      <c r="J28" s="171">
        <v>2</v>
      </c>
      <c r="K28" s="171">
        <v>1</v>
      </c>
      <c r="L28" s="171">
        <v>1</v>
      </c>
      <c r="M28" s="171">
        <v>1</v>
      </c>
      <c r="N28" s="174">
        <v>9</v>
      </c>
      <c r="O28" s="174">
        <v>10</v>
      </c>
      <c r="P28" s="174">
        <v>8</v>
      </c>
      <c r="Q28" s="174">
        <v>1</v>
      </c>
      <c r="R28" s="175"/>
      <c r="S28" s="464" t="s">
        <v>367</v>
      </c>
      <c r="T28" s="464" t="s">
        <v>238</v>
      </c>
      <c r="U28" s="464">
        <v>0.32</v>
      </c>
      <c r="V28" s="464">
        <v>0.2</v>
      </c>
      <c r="W28" s="464">
        <v>0.12</v>
      </c>
      <c r="X28" s="464">
        <v>0.24</v>
      </c>
      <c r="Y28" s="464">
        <v>0.12</v>
      </c>
      <c r="Z28" s="464" t="s">
        <v>367</v>
      </c>
      <c r="AA28" s="464" t="s">
        <v>367</v>
      </c>
      <c r="AB28" s="464" t="s">
        <v>367</v>
      </c>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76"/>
      <c r="BF28" s="176"/>
      <c r="BG28" s="176"/>
      <c r="BH28" s="176"/>
      <c r="BI28" s="176"/>
      <c r="BJ28" s="176"/>
      <c r="BK28" s="176"/>
      <c r="BL28" s="176"/>
      <c r="BM28" s="176"/>
      <c r="BN28" s="176"/>
      <c r="BO28" s="176"/>
      <c r="BP28" s="176"/>
      <c r="BQ28" s="176"/>
      <c r="BR28" s="176"/>
      <c r="BS28" s="176"/>
      <c r="BT28" s="176"/>
      <c r="BU28" s="176"/>
      <c r="BV28" s="176"/>
      <c r="BW28" s="176"/>
      <c r="BX28" s="176"/>
      <c r="BY28" s="176"/>
      <c r="BZ28" s="176"/>
      <c r="CA28" s="176"/>
      <c r="CB28" s="176"/>
      <c r="CC28" s="176"/>
      <c r="CD28" s="176"/>
      <c r="CE28" s="176"/>
      <c r="CF28" s="176"/>
      <c r="CG28" s="176"/>
      <c r="CH28" s="176"/>
      <c r="CI28" s="176"/>
      <c r="CJ28" s="176"/>
      <c r="CK28" s="176"/>
      <c r="CL28" s="176"/>
      <c r="CM28" s="176"/>
      <c r="CN28" s="176"/>
      <c r="CO28" s="176"/>
      <c r="CP28" s="176"/>
      <c r="CQ28" s="176"/>
      <c r="CR28" s="176"/>
      <c r="CS28" s="176"/>
      <c r="CT28" s="176"/>
    </row>
    <row r="29" spans="1:98" ht="15.75" thickBot="1" x14ac:dyDescent="0.3">
      <c r="A29" s="170">
        <f>IF(LEN(Projects!A25)&gt;0,Projects!A25,"")</f>
        <v>23</v>
      </c>
      <c r="B29" s="104" t="str">
        <f>IF(ISNA(VLOOKUP(A29,Projects!A:B,2,FALSE)), "",VLOOKUP(A29,Projects!A:B,2,FALSE))</f>
        <v>Project 23</v>
      </c>
      <c r="C29" s="171">
        <f t="shared" si="4"/>
        <v>10</v>
      </c>
      <c r="D29" s="171">
        <f t="shared" si="5"/>
        <v>2</v>
      </c>
      <c r="E29" s="171">
        <f t="shared" si="6"/>
        <v>1</v>
      </c>
      <c r="F29" s="171">
        <f t="shared" si="7"/>
        <v>2</v>
      </c>
      <c r="G29" s="172">
        <f t="shared" si="8"/>
        <v>1</v>
      </c>
      <c r="H29" s="172">
        <f t="shared" si="9"/>
        <v>2</v>
      </c>
      <c r="I29" s="173">
        <f t="shared" si="10"/>
        <v>8</v>
      </c>
      <c r="J29" s="171">
        <v>2</v>
      </c>
      <c r="K29" s="171">
        <v>3</v>
      </c>
      <c r="L29" s="171">
        <v>2</v>
      </c>
      <c r="M29" s="171">
        <v>1</v>
      </c>
      <c r="N29" s="174">
        <v>4</v>
      </c>
      <c r="O29" s="174">
        <v>6</v>
      </c>
      <c r="P29" s="174">
        <v>7</v>
      </c>
      <c r="Q29" s="174">
        <v>2</v>
      </c>
      <c r="R29" s="175"/>
      <c r="S29" s="464">
        <v>0.24</v>
      </c>
      <c r="T29" s="464" t="s">
        <v>367</v>
      </c>
      <c r="U29" s="464" t="s">
        <v>238</v>
      </c>
      <c r="V29" s="464" t="s">
        <v>367</v>
      </c>
      <c r="W29" s="464">
        <v>0.24000000000000005</v>
      </c>
      <c r="X29" s="464" t="s">
        <v>367</v>
      </c>
      <c r="Y29" s="464" t="s">
        <v>367</v>
      </c>
      <c r="Z29" s="464">
        <v>0.44000000000000006</v>
      </c>
      <c r="AA29" s="464">
        <v>1</v>
      </c>
      <c r="AB29" s="464">
        <v>0.68</v>
      </c>
      <c r="AC29" s="176"/>
      <c r="AD29" s="176"/>
      <c r="AE29" s="176"/>
      <c r="AF29" s="176"/>
      <c r="AG29" s="176"/>
      <c r="AH29" s="176"/>
      <c r="AI29" s="176"/>
      <c r="AJ29" s="176"/>
      <c r="AK29" s="176"/>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c r="CS29" s="176"/>
      <c r="CT29" s="176"/>
    </row>
    <row r="30" spans="1:98" ht="15.75" thickBot="1" x14ac:dyDescent="0.3">
      <c r="A30" s="170">
        <f>IF(LEN(Projects!A26)&gt;0,Projects!A26,"")</f>
        <v>24</v>
      </c>
      <c r="B30" s="104" t="str">
        <f>IF(ISNA(VLOOKUP(A30,Projects!A:B,2,FALSE)), "",VLOOKUP(A30,Projects!A:B,2,FALSE))</f>
        <v>Project 24</v>
      </c>
      <c r="C30" s="171">
        <f t="shared" si="4"/>
        <v>0</v>
      </c>
      <c r="D30" s="171">
        <f t="shared" si="5"/>
        <v>0</v>
      </c>
      <c r="E30" s="171">
        <f t="shared" si="6"/>
        <v>1</v>
      </c>
      <c r="F30" s="171">
        <f t="shared" si="7"/>
        <v>0</v>
      </c>
      <c r="G30" s="172">
        <f t="shared" si="8"/>
        <v>0</v>
      </c>
      <c r="H30" s="172">
        <f t="shared" si="9"/>
        <v>0</v>
      </c>
      <c r="I30" s="173">
        <f t="shared" si="10"/>
        <v>0</v>
      </c>
      <c r="J30" s="171"/>
      <c r="K30" s="171"/>
      <c r="L30" s="171"/>
      <c r="M30" s="171"/>
      <c r="N30" s="174"/>
      <c r="O30" s="174"/>
      <c r="P30" s="174"/>
      <c r="Q30" s="174"/>
      <c r="R30" s="175"/>
      <c r="S30" s="464"/>
      <c r="T30" s="464"/>
      <c r="U30" s="464"/>
      <c r="V30" s="464" t="s">
        <v>238</v>
      </c>
      <c r="W30" s="464"/>
      <c r="X30" s="464"/>
      <c r="Y30" s="464"/>
      <c r="Z30" s="464"/>
      <c r="AA30" s="464"/>
      <c r="AB30" s="464"/>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176"/>
      <c r="CD30" s="176"/>
      <c r="CE30" s="176"/>
      <c r="CF30" s="176"/>
      <c r="CG30" s="176"/>
      <c r="CH30" s="176"/>
      <c r="CI30" s="176"/>
      <c r="CJ30" s="176"/>
      <c r="CK30" s="176"/>
      <c r="CL30" s="176"/>
      <c r="CM30" s="176"/>
      <c r="CN30" s="176"/>
      <c r="CO30" s="176"/>
      <c r="CP30" s="176"/>
      <c r="CQ30" s="176"/>
      <c r="CR30" s="176"/>
      <c r="CS30" s="176"/>
      <c r="CT30" s="176"/>
    </row>
    <row r="31" spans="1:98" x14ac:dyDescent="0.25">
      <c r="A31" s="170">
        <f>IF(LEN(Projects!A27)&gt;0,Projects!A27,"")</f>
        <v>25</v>
      </c>
      <c r="B31" s="104" t="str">
        <f>IF(ISNA(VLOOKUP(A31,Projects!A:B,2,FALSE)), "",VLOOKUP(A31,Projects!A:B,2,FALSE))</f>
        <v>Project 25</v>
      </c>
      <c r="C31" s="171">
        <f t="shared" si="4"/>
        <v>0</v>
      </c>
      <c r="D31" s="171">
        <f t="shared" si="5"/>
        <v>0</v>
      </c>
      <c r="E31" s="171">
        <f t="shared" si="6"/>
        <v>1</v>
      </c>
      <c r="F31" s="171">
        <f t="shared" si="7"/>
        <v>0</v>
      </c>
      <c r="G31" s="172">
        <f t="shared" si="8"/>
        <v>0</v>
      </c>
      <c r="H31" s="172">
        <f t="shared" si="9"/>
        <v>0</v>
      </c>
      <c r="I31" s="173">
        <f t="shared" si="10"/>
        <v>0</v>
      </c>
      <c r="J31" s="171"/>
      <c r="K31" s="171"/>
      <c r="L31" s="171"/>
      <c r="M31" s="171"/>
      <c r="N31" s="174"/>
      <c r="O31" s="174"/>
      <c r="P31" s="174"/>
      <c r="Q31" s="174"/>
      <c r="R31" s="175"/>
      <c r="S31" s="464"/>
      <c r="T31" s="464"/>
      <c r="U31" s="464"/>
      <c r="V31" s="464"/>
      <c r="W31" s="464" t="s">
        <v>238</v>
      </c>
      <c r="X31" s="464"/>
      <c r="Y31" s="464"/>
      <c r="Z31" s="464"/>
      <c r="AA31" s="464"/>
      <c r="AB31" s="464"/>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c r="CS31" s="176"/>
      <c r="CT31" s="176"/>
    </row>
    <row r="32" spans="1:98" x14ac:dyDescent="0.2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76"/>
      <c r="BF32" s="176"/>
      <c r="BG32" s="176"/>
      <c r="BH32" s="176"/>
      <c r="BI32" s="176"/>
      <c r="BJ32" s="176"/>
      <c r="BK32" s="176"/>
      <c r="BL32" s="176"/>
      <c r="BM32" s="176"/>
      <c r="BN32" s="176"/>
      <c r="BO32" s="176"/>
      <c r="BP32" s="176"/>
      <c r="BQ32" s="176"/>
      <c r="BR32" s="176"/>
      <c r="BS32" s="176"/>
      <c r="BT32" s="176"/>
      <c r="BU32" s="176"/>
      <c r="BV32" s="176"/>
      <c r="BW32" s="176"/>
      <c r="BX32" s="176"/>
      <c r="BY32" s="176"/>
      <c r="BZ32" s="176"/>
      <c r="CA32" s="176"/>
      <c r="CB32" s="176"/>
      <c r="CC32" s="176"/>
      <c r="CD32" s="176"/>
      <c r="CE32" s="176"/>
      <c r="CF32" s="176"/>
      <c r="CG32" s="176"/>
      <c r="CH32" s="176"/>
      <c r="CI32" s="176"/>
      <c r="CJ32" s="176"/>
      <c r="CK32" s="176"/>
      <c r="CL32" s="176"/>
      <c r="CM32" s="176"/>
      <c r="CN32" s="176"/>
      <c r="CO32" s="176"/>
      <c r="CP32" s="176"/>
      <c r="CQ32" s="176"/>
      <c r="CR32" s="176"/>
      <c r="CS32" s="176"/>
      <c r="CT32" s="176"/>
    </row>
    <row r="33" spans="19:98" x14ac:dyDescent="0.25">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176"/>
      <c r="BF33" s="176"/>
      <c r="BG33" s="176"/>
      <c r="BH33" s="176"/>
      <c r="BI33" s="176"/>
      <c r="BJ33" s="176"/>
      <c r="BK33" s="176"/>
      <c r="BL33" s="176"/>
      <c r="BM33" s="176"/>
      <c r="BN33" s="176"/>
      <c r="BO33" s="176"/>
      <c r="BP33" s="176"/>
      <c r="BQ33" s="176"/>
      <c r="BR33" s="176"/>
      <c r="BS33" s="176"/>
      <c r="BT33" s="176"/>
      <c r="BU33" s="176"/>
      <c r="BV33" s="176"/>
      <c r="BW33" s="176"/>
      <c r="BX33" s="176"/>
      <c r="BY33" s="176"/>
      <c r="BZ33" s="176"/>
      <c r="CA33" s="176"/>
      <c r="CB33" s="176"/>
      <c r="CC33" s="176"/>
      <c r="CD33" s="176"/>
      <c r="CE33" s="176"/>
      <c r="CF33" s="176"/>
      <c r="CG33" s="176"/>
      <c r="CH33" s="176"/>
      <c r="CI33" s="176"/>
      <c r="CJ33" s="176"/>
      <c r="CK33" s="176"/>
      <c r="CL33" s="176"/>
      <c r="CM33" s="176"/>
      <c r="CN33" s="176"/>
      <c r="CO33" s="176"/>
      <c r="CP33" s="176"/>
      <c r="CQ33" s="176"/>
      <c r="CR33" s="176"/>
      <c r="CS33" s="176"/>
      <c r="CT33" s="176"/>
    </row>
    <row r="34" spans="19:98" x14ac:dyDescent="0.25">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176"/>
      <c r="BF34" s="176"/>
      <c r="BG34" s="176"/>
      <c r="BH34" s="176"/>
      <c r="BI34" s="176"/>
      <c r="BJ34" s="176"/>
      <c r="BK34" s="176"/>
      <c r="BL34" s="176"/>
      <c r="BM34" s="176"/>
      <c r="BN34" s="176"/>
      <c r="BO34" s="176"/>
      <c r="BP34" s="176"/>
      <c r="BQ34" s="176"/>
      <c r="BR34" s="176"/>
      <c r="BS34" s="176"/>
      <c r="BT34" s="176"/>
      <c r="BU34" s="176"/>
      <c r="BV34" s="176"/>
      <c r="BW34" s="176"/>
      <c r="BX34" s="176"/>
      <c r="BY34" s="176"/>
      <c r="BZ34" s="176"/>
      <c r="CA34" s="176"/>
      <c r="CB34" s="176"/>
      <c r="CC34" s="176"/>
      <c r="CD34" s="176"/>
      <c r="CE34" s="176"/>
      <c r="CF34" s="176"/>
      <c r="CG34" s="176"/>
      <c r="CH34" s="176"/>
      <c r="CI34" s="176"/>
      <c r="CJ34" s="176"/>
      <c r="CK34" s="176"/>
      <c r="CL34" s="176"/>
      <c r="CM34" s="176"/>
      <c r="CN34" s="176"/>
      <c r="CO34" s="176"/>
      <c r="CP34" s="176"/>
      <c r="CQ34" s="176"/>
      <c r="CR34" s="176"/>
      <c r="CS34" s="176"/>
      <c r="CT34" s="176"/>
    </row>
    <row r="35" spans="19:98" x14ac:dyDescent="0.25">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6"/>
      <c r="AX35" s="176"/>
      <c r="AY35" s="176"/>
      <c r="AZ35" s="176"/>
      <c r="BA35" s="176"/>
      <c r="BB35" s="176"/>
      <c r="BC35" s="176"/>
      <c r="BD35" s="176"/>
      <c r="BE35" s="176"/>
      <c r="BF35" s="176"/>
      <c r="BG35" s="176"/>
      <c r="BH35" s="176"/>
      <c r="BI35" s="176"/>
      <c r="BJ35" s="176"/>
      <c r="BK35" s="176"/>
      <c r="BL35" s="176"/>
      <c r="BM35" s="176"/>
      <c r="BN35" s="176"/>
      <c r="BO35" s="176"/>
      <c r="BP35" s="176"/>
      <c r="BQ35" s="176"/>
      <c r="BR35" s="176"/>
      <c r="BS35" s="176"/>
      <c r="BT35" s="176"/>
      <c r="BU35" s="176"/>
      <c r="BV35" s="176"/>
      <c r="BW35" s="176"/>
      <c r="BX35" s="176"/>
      <c r="BY35" s="176"/>
      <c r="BZ35" s="176"/>
      <c r="CA35" s="176"/>
      <c r="CB35" s="176"/>
      <c r="CC35" s="176"/>
      <c r="CD35" s="176"/>
      <c r="CE35" s="176"/>
      <c r="CF35" s="176"/>
      <c r="CG35" s="176"/>
      <c r="CH35" s="176"/>
      <c r="CI35" s="176"/>
      <c r="CJ35" s="176"/>
      <c r="CK35" s="176"/>
      <c r="CL35" s="176"/>
      <c r="CM35" s="176"/>
      <c r="CN35" s="176"/>
      <c r="CO35" s="176"/>
      <c r="CP35" s="176"/>
      <c r="CQ35" s="176"/>
      <c r="CR35" s="176"/>
      <c r="CS35" s="176"/>
      <c r="CT35" s="176"/>
    </row>
    <row r="36" spans="19:98" x14ac:dyDescent="0.25">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c r="CS36" s="176"/>
      <c r="CT36" s="176"/>
    </row>
    <row r="37" spans="19:98" x14ac:dyDescent="0.25">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176"/>
      <c r="AX37" s="176"/>
      <c r="AY37" s="176"/>
      <c r="AZ37" s="176"/>
      <c r="BA37" s="176"/>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c r="CS37" s="176"/>
      <c r="CT37" s="176"/>
    </row>
    <row r="38" spans="19:98" x14ac:dyDescent="0.25">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6"/>
      <c r="AX38" s="176"/>
      <c r="AY38" s="176"/>
      <c r="AZ38" s="176"/>
      <c r="BA38" s="176"/>
      <c r="BB38" s="176"/>
      <c r="BC38" s="176"/>
      <c r="BD38" s="176"/>
      <c r="BE38" s="176"/>
      <c r="BF38" s="176"/>
      <c r="BG38" s="176"/>
      <c r="BH38" s="176"/>
      <c r="BI38" s="176"/>
      <c r="BJ38" s="176"/>
      <c r="BK38" s="176"/>
      <c r="BL38" s="176"/>
      <c r="BM38" s="176"/>
      <c r="BN38" s="176"/>
      <c r="BO38" s="176"/>
      <c r="BP38" s="176"/>
      <c r="BQ38" s="176"/>
      <c r="BR38" s="176"/>
      <c r="BS38" s="176"/>
      <c r="BT38" s="176"/>
      <c r="BU38" s="176"/>
      <c r="BV38" s="176"/>
      <c r="BW38" s="176"/>
      <c r="BX38" s="176"/>
      <c r="BY38" s="176"/>
      <c r="BZ38" s="176"/>
      <c r="CA38" s="176"/>
      <c r="CB38" s="176"/>
      <c r="CC38" s="176"/>
      <c r="CD38" s="176"/>
      <c r="CE38" s="176"/>
      <c r="CF38" s="176"/>
      <c r="CG38" s="176"/>
      <c r="CH38" s="176"/>
      <c r="CI38" s="176"/>
      <c r="CJ38" s="176"/>
      <c r="CK38" s="176"/>
      <c r="CL38" s="176"/>
      <c r="CM38" s="176"/>
      <c r="CN38" s="176"/>
      <c r="CO38" s="176"/>
      <c r="CP38" s="176"/>
      <c r="CQ38" s="176"/>
      <c r="CR38" s="176"/>
      <c r="CS38" s="176"/>
      <c r="CT38" s="176"/>
    </row>
    <row r="39" spans="19:98" x14ac:dyDescent="0.25">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76"/>
      <c r="BF39" s="176"/>
      <c r="BG39" s="176"/>
      <c r="BH39" s="176"/>
      <c r="BI39" s="176"/>
      <c r="BJ39" s="176"/>
      <c r="BK39" s="176"/>
      <c r="BL39" s="176"/>
      <c r="BM39" s="176"/>
      <c r="BN39" s="176"/>
      <c r="BO39" s="176"/>
      <c r="BP39" s="176"/>
      <c r="BQ39" s="176"/>
      <c r="BR39" s="176"/>
      <c r="BS39" s="176"/>
      <c r="BT39" s="176"/>
      <c r="BU39" s="176"/>
      <c r="BV39" s="176"/>
      <c r="BW39" s="176"/>
      <c r="BX39" s="176"/>
      <c r="BY39" s="176"/>
      <c r="BZ39" s="176"/>
      <c r="CA39" s="176"/>
      <c r="CB39" s="176"/>
      <c r="CC39" s="176"/>
      <c r="CD39" s="176"/>
      <c r="CE39" s="176"/>
      <c r="CF39" s="176"/>
      <c r="CG39" s="176"/>
      <c r="CH39" s="176"/>
      <c r="CI39" s="176"/>
      <c r="CJ39" s="176"/>
      <c r="CK39" s="176"/>
      <c r="CL39" s="176"/>
      <c r="CM39" s="176"/>
      <c r="CN39" s="176"/>
      <c r="CO39" s="176"/>
      <c r="CP39" s="176"/>
      <c r="CQ39" s="176"/>
      <c r="CR39" s="176"/>
      <c r="CS39" s="176"/>
      <c r="CT39" s="176"/>
    </row>
    <row r="40" spans="19:98" x14ac:dyDescent="0.25">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c r="CS40" s="176"/>
      <c r="CT40" s="176"/>
    </row>
    <row r="41" spans="19:98" x14ac:dyDescent="0.25">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76"/>
      <c r="BF41" s="176"/>
      <c r="BG41" s="176"/>
      <c r="BH41" s="176"/>
      <c r="BI41" s="176"/>
      <c r="BJ41" s="176"/>
      <c r="BK41" s="176"/>
      <c r="BL41" s="176"/>
      <c r="BM41" s="176"/>
      <c r="BN41" s="176"/>
      <c r="BO41" s="176"/>
      <c r="BP41" s="176"/>
      <c r="BQ41" s="176"/>
      <c r="BR41" s="176"/>
      <c r="BS41" s="176"/>
      <c r="BT41" s="176"/>
      <c r="BU41" s="176"/>
      <c r="BV41" s="176"/>
      <c r="BW41" s="176"/>
      <c r="BX41" s="176"/>
      <c r="BY41" s="176"/>
      <c r="BZ41" s="176"/>
      <c r="CA41" s="176"/>
      <c r="CB41" s="176"/>
      <c r="CC41" s="176"/>
      <c r="CD41" s="176"/>
      <c r="CE41" s="176"/>
      <c r="CF41" s="176"/>
      <c r="CG41" s="176"/>
      <c r="CH41" s="176"/>
      <c r="CI41" s="176"/>
      <c r="CJ41" s="176"/>
      <c r="CK41" s="176"/>
      <c r="CL41" s="176"/>
      <c r="CM41" s="176"/>
      <c r="CN41" s="176"/>
      <c r="CO41" s="176"/>
      <c r="CP41" s="176"/>
      <c r="CQ41" s="176"/>
      <c r="CR41" s="176"/>
      <c r="CS41" s="176"/>
      <c r="CT41" s="176"/>
    </row>
    <row r="42" spans="19:98" x14ac:dyDescent="0.25">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176"/>
      <c r="BA42" s="176"/>
      <c r="BB42" s="176"/>
      <c r="BC42" s="176"/>
      <c r="BD42" s="176"/>
      <c r="BE42" s="176"/>
      <c r="BF42" s="176"/>
      <c r="BG42" s="176"/>
      <c r="BH42" s="176"/>
      <c r="BI42" s="176"/>
      <c r="BJ42" s="176"/>
      <c r="BK42" s="176"/>
      <c r="BL42" s="176"/>
      <c r="BM42" s="176"/>
      <c r="BN42" s="176"/>
      <c r="BO42" s="176"/>
      <c r="BP42" s="176"/>
      <c r="BQ42" s="176"/>
      <c r="BR42" s="176"/>
      <c r="BS42" s="176"/>
      <c r="BT42" s="176"/>
      <c r="BU42" s="176"/>
      <c r="BV42" s="176"/>
      <c r="BW42" s="176"/>
      <c r="BX42" s="176"/>
      <c r="BY42" s="176"/>
      <c r="BZ42" s="176"/>
      <c r="CA42" s="176"/>
      <c r="CB42" s="176"/>
      <c r="CC42" s="176"/>
      <c r="CD42" s="176"/>
      <c r="CE42" s="176"/>
      <c r="CF42" s="176"/>
      <c r="CG42" s="176"/>
      <c r="CH42" s="176"/>
      <c r="CI42" s="176"/>
      <c r="CJ42" s="176"/>
      <c r="CK42" s="176"/>
      <c r="CL42" s="176"/>
      <c r="CM42" s="176"/>
      <c r="CN42" s="176"/>
      <c r="CO42" s="176"/>
      <c r="CP42" s="176"/>
      <c r="CQ42" s="176"/>
      <c r="CR42" s="176"/>
      <c r="CS42" s="176"/>
      <c r="CT42" s="176"/>
    </row>
    <row r="43" spans="19:98" x14ac:dyDescent="0.25">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76"/>
      <c r="BF43" s="176"/>
      <c r="BG43" s="176"/>
      <c r="BH43" s="176"/>
      <c r="BI43" s="176"/>
      <c r="BJ43" s="176"/>
      <c r="BK43" s="176"/>
      <c r="BL43" s="176"/>
      <c r="BM43" s="176"/>
      <c r="BN43" s="176"/>
      <c r="BO43" s="176"/>
      <c r="BP43" s="176"/>
      <c r="BQ43" s="176"/>
      <c r="BR43" s="176"/>
      <c r="BS43" s="176"/>
      <c r="BT43" s="176"/>
      <c r="BU43" s="176"/>
      <c r="BV43" s="176"/>
      <c r="BW43" s="176"/>
      <c r="BX43" s="176"/>
      <c r="BY43" s="176"/>
      <c r="BZ43" s="176"/>
      <c r="CA43" s="176"/>
      <c r="CB43" s="176"/>
      <c r="CC43" s="176"/>
      <c r="CD43" s="176"/>
      <c r="CE43" s="176"/>
      <c r="CF43" s="176"/>
      <c r="CG43" s="176"/>
      <c r="CH43" s="176"/>
      <c r="CI43" s="176"/>
      <c r="CJ43" s="176"/>
      <c r="CK43" s="176"/>
      <c r="CL43" s="176"/>
      <c r="CM43" s="176"/>
      <c r="CN43" s="176"/>
      <c r="CO43" s="176"/>
      <c r="CP43" s="176"/>
      <c r="CQ43" s="176"/>
      <c r="CR43" s="176"/>
      <c r="CS43" s="176"/>
      <c r="CT43" s="176"/>
    </row>
    <row r="44" spans="19:98" x14ac:dyDescent="0.25">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c r="BK44" s="176"/>
      <c r="BL44" s="176"/>
      <c r="BM44" s="176"/>
      <c r="BN44" s="176"/>
      <c r="BO44" s="176"/>
      <c r="BP44" s="176"/>
      <c r="BQ44" s="176"/>
      <c r="BR44" s="176"/>
      <c r="BS44" s="176"/>
      <c r="BT44" s="176"/>
      <c r="BU44" s="176"/>
      <c r="BV44" s="176"/>
      <c r="BW44" s="176"/>
      <c r="BX44" s="176"/>
      <c r="BY44" s="176"/>
      <c r="BZ44" s="176"/>
      <c r="CA44" s="176"/>
      <c r="CB44" s="176"/>
      <c r="CC44" s="176"/>
      <c r="CD44" s="176"/>
      <c r="CE44" s="176"/>
      <c r="CF44" s="176"/>
      <c r="CG44" s="176"/>
      <c r="CH44" s="176"/>
      <c r="CI44" s="176"/>
      <c r="CJ44" s="176"/>
      <c r="CK44" s="176"/>
      <c r="CL44" s="176"/>
      <c r="CM44" s="176"/>
      <c r="CN44" s="176"/>
      <c r="CO44" s="176"/>
      <c r="CP44" s="176"/>
      <c r="CQ44" s="176"/>
      <c r="CR44" s="176"/>
      <c r="CS44" s="176"/>
      <c r="CT44" s="176"/>
    </row>
    <row r="45" spans="19:98" x14ac:dyDescent="0.25">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c r="CS45" s="176"/>
      <c r="CT45" s="176"/>
    </row>
    <row r="46" spans="19:98" x14ac:dyDescent="0.25">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176"/>
      <c r="BB46" s="176"/>
      <c r="BC46" s="176"/>
      <c r="BD46" s="176"/>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c r="CS46" s="176"/>
      <c r="CT46" s="176"/>
    </row>
    <row r="47" spans="19:98" x14ac:dyDescent="0.25">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176"/>
      <c r="BB47" s="176"/>
      <c r="BC47" s="176"/>
      <c r="BD47" s="176"/>
      <c r="BE47" s="176"/>
      <c r="BF47" s="176"/>
      <c r="BG47" s="176"/>
      <c r="BH47" s="176"/>
      <c r="BI47" s="176"/>
      <c r="BJ47" s="176"/>
      <c r="BK47" s="176"/>
      <c r="BL47" s="176"/>
      <c r="BM47" s="176"/>
      <c r="BN47" s="176"/>
      <c r="BO47" s="176"/>
      <c r="BP47" s="176"/>
      <c r="BQ47" s="176"/>
      <c r="BR47" s="176"/>
      <c r="BS47" s="176"/>
      <c r="BT47" s="176"/>
      <c r="BU47" s="176"/>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6"/>
      <c r="CS47" s="176"/>
      <c r="CT47" s="176"/>
    </row>
    <row r="48" spans="19:98" x14ac:dyDescent="0.25">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76"/>
      <c r="BF48" s="176"/>
      <c r="BG48" s="176"/>
      <c r="BH48" s="176"/>
      <c r="BI48" s="176"/>
      <c r="BJ48" s="176"/>
      <c r="BK48" s="176"/>
      <c r="BL48" s="176"/>
      <c r="BM48" s="176"/>
      <c r="BN48" s="176"/>
      <c r="BO48" s="176"/>
      <c r="BP48" s="176"/>
      <c r="BQ48" s="176"/>
      <c r="BR48" s="176"/>
      <c r="BS48" s="176"/>
      <c r="BT48" s="176"/>
      <c r="BU48" s="176"/>
      <c r="BV48" s="176"/>
      <c r="BW48" s="176"/>
      <c r="BX48" s="176"/>
      <c r="BY48" s="176"/>
      <c r="BZ48" s="176"/>
      <c r="CA48" s="176"/>
      <c r="CB48" s="176"/>
      <c r="CC48" s="176"/>
      <c r="CD48" s="176"/>
      <c r="CE48" s="176"/>
      <c r="CF48" s="176"/>
      <c r="CG48" s="176"/>
      <c r="CH48" s="176"/>
      <c r="CI48" s="176"/>
      <c r="CJ48" s="176"/>
      <c r="CK48" s="176"/>
      <c r="CL48" s="176"/>
      <c r="CM48" s="176"/>
      <c r="CN48" s="176"/>
      <c r="CO48" s="176"/>
      <c r="CP48" s="176"/>
      <c r="CQ48" s="176"/>
      <c r="CR48" s="176"/>
      <c r="CS48" s="176"/>
      <c r="CT48" s="176"/>
    </row>
    <row r="49" spans="19:98" x14ac:dyDescent="0.25">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c r="CS49" s="176"/>
      <c r="CT49" s="176"/>
    </row>
    <row r="50" spans="19:98" x14ac:dyDescent="0.25">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c r="CS50" s="176"/>
      <c r="CT50" s="176"/>
    </row>
    <row r="51" spans="19:98" x14ac:dyDescent="0.25">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76"/>
      <c r="BF51" s="176"/>
      <c r="BG51" s="176"/>
      <c r="BH51" s="176"/>
      <c r="BI51" s="176"/>
      <c r="BJ51" s="176"/>
      <c r="BK51" s="176"/>
      <c r="BL51" s="176"/>
      <c r="BM51" s="176"/>
      <c r="BN51" s="176"/>
      <c r="BO51" s="176"/>
      <c r="BP51" s="176"/>
      <c r="BQ51" s="176"/>
      <c r="BR51" s="176"/>
      <c r="BS51" s="176"/>
      <c r="BT51" s="176"/>
      <c r="BU51" s="176"/>
      <c r="BV51" s="176"/>
      <c r="BW51" s="176"/>
      <c r="BX51" s="176"/>
      <c r="BY51" s="176"/>
      <c r="BZ51" s="176"/>
      <c r="CA51" s="176"/>
      <c r="CB51" s="176"/>
      <c r="CC51" s="176"/>
      <c r="CD51" s="176"/>
      <c r="CE51" s="176"/>
      <c r="CF51" s="176"/>
      <c r="CG51" s="176"/>
      <c r="CH51" s="176"/>
      <c r="CI51" s="176"/>
      <c r="CJ51" s="176"/>
      <c r="CK51" s="176"/>
      <c r="CL51" s="176"/>
      <c r="CM51" s="176"/>
      <c r="CN51" s="176"/>
      <c r="CO51" s="176"/>
      <c r="CP51" s="176"/>
      <c r="CQ51" s="176"/>
      <c r="CR51" s="176"/>
      <c r="CS51" s="176"/>
      <c r="CT51" s="176"/>
    </row>
    <row r="52" spans="19:98" x14ac:dyDescent="0.25">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c r="CS52" s="176"/>
      <c r="CT52" s="176"/>
    </row>
    <row r="53" spans="19:98" x14ac:dyDescent="0.25">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c r="CS53" s="176"/>
      <c r="CT53" s="176"/>
    </row>
    <row r="54" spans="19:98" x14ac:dyDescent="0.25">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c r="CS54" s="176"/>
      <c r="CT54" s="176"/>
    </row>
    <row r="55" spans="19:98" x14ac:dyDescent="0.25">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c r="CS55" s="176"/>
      <c r="CT55" s="176"/>
    </row>
    <row r="56" spans="19:98" x14ac:dyDescent="0.25">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c r="BG56" s="176"/>
      <c r="BH56" s="176"/>
      <c r="BI56" s="176"/>
      <c r="BJ56" s="176"/>
      <c r="BK56" s="176"/>
      <c r="BL56" s="176"/>
      <c r="BM56" s="176"/>
      <c r="BN56" s="17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c r="CS56" s="176"/>
      <c r="CT56" s="176"/>
    </row>
    <row r="57" spans="19:98" x14ac:dyDescent="0.25">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c r="CS57" s="176"/>
      <c r="CT57" s="176"/>
    </row>
    <row r="58" spans="19:98" x14ac:dyDescent="0.25">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c r="CS58" s="176"/>
      <c r="CT58" s="176"/>
    </row>
    <row r="59" spans="19:98" x14ac:dyDescent="0.25">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c r="CS59" s="176"/>
      <c r="CT59" s="176"/>
    </row>
    <row r="60" spans="19:98" x14ac:dyDescent="0.25">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c r="CS60" s="176"/>
      <c r="CT60" s="176"/>
    </row>
    <row r="61" spans="19:98" x14ac:dyDescent="0.25">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c r="CS61" s="176"/>
      <c r="CT61" s="176"/>
    </row>
    <row r="62" spans="19:98" x14ac:dyDescent="0.25">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c r="CS62" s="176"/>
      <c r="CT62" s="176"/>
    </row>
    <row r="63" spans="19:98" x14ac:dyDescent="0.25">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c r="CS63" s="176"/>
      <c r="CT63" s="176"/>
    </row>
    <row r="64" spans="19:98" x14ac:dyDescent="0.25">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c r="CS64" s="176"/>
      <c r="CT64" s="176"/>
    </row>
    <row r="65" spans="19:98" x14ac:dyDescent="0.25">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c r="CS65" s="176"/>
      <c r="CT65" s="176"/>
    </row>
    <row r="66" spans="19:98" x14ac:dyDescent="0.25">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c r="CS66" s="176"/>
      <c r="CT66" s="176"/>
    </row>
    <row r="67" spans="19:98" x14ac:dyDescent="0.25">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c r="CS67" s="176"/>
      <c r="CT67" s="176"/>
    </row>
    <row r="68" spans="19:98" x14ac:dyDescent="0.25">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c r="CS68" s="176"/>
      <c r="CT68" s="176"/>
    </row>
    <row r="69" spans="19:98" x14ac:dyDescent="0.25">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c r="CS69" s="176"/>
      <c r="CT69" s="176"/>
    </row>
    <row r="70" spans="19:98" x14ac:dyDescent="0.25">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c r="CS70" s="176"/>
      <c r="CT70" s="176"/>
    </row>
    <row r="71" spans="19:98" x14ac:dyDescent="0.25">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c r="CS71" s="176"/>
      <c r="CT71" s="176"/>
    </row>
    <row r="72" spans="19:98" x14ac:dyDescent="0.25">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c r="CS72" s="176"/>
      <c r="CT72" s="176"/>
    </row>
    <row r="73" spans="19:98" x14ac:dyDescent="0.25">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c r="CS73" s="176"/>
      <c r="CT73" s="176"/>
    </row>
    <row r="74" spans="19:98" x14ac:dyDescent="0.25">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c r="CS74" s="176"/>
      <c r="CT74" s="176"/>
    </row>
    <row r="75" spans="19:98" x14ac:dyDescent="0.25">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c r="CS75" s="176"/>
      <c r="CT75" s="176"/>
    </row>
    <row r="76" spans="19:98" x14ac:dyDescent="0.25">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c r="CS76" s="176"/>
      <c r="CT76" s="176"/>
    </row>
    <row r="77" spans="19:98" x14ac:dyDescent="0.25">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c r="CS77" s="176"/>
      <c r="CT77" s="176"/>
    </row>
    <row r="78" spans="19:98" x14ac:dyDescent="0.25">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c r="CS78" s="176"/>
      <c r="CT78" s="176"/>
    </row>
    <row r="79" spans="19:98" x14ac:dyDescent="0.25">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c r="CS79" s="176"/>
      <c r="CT79" s="176"/>
    </row>
    <row r="80" spans="19:98" x14ac:dyDescent="0.25">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c r="CS80" s="176"/>
      <c r="CT80" s="176"/>
    </row>
    <row r="81" spans="19:98" x14ac:dyDescent="0.25">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c r="CS81" s="176"/>
      <c r="CT81" s="176"/>
    </row>
    <row r="82" spans="19:98" x14ac:dyDescent="0.25">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c r="CS82" s="176"/>
      <c r="CT82" s="176"/>
    </row>
    <row r="83" spans="19:98" x14ac:dyDescent="0.25">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c r="CS83" s="176"/>
      <c r="CT83" s="176"/>
    </row>
    <row r="84" spans="19:98" x14ac:dyDescent="0.25">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c r="CS84" s="176"/>
      <c r="CT84" s="176"/>
    </row>
    <row r="85" spans="19:98" x14ac:dyDescent="0.25">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c r="CS85" s="176"/>
      <c r="CT85" s="176"/>
    </row>
    <row r="86" spans="19:98" x14ac:dyDescent="0.25">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c r="CS86" s="176"/>
      <c r="CT86" s="176"/>
    </row>
    <row r="87" spans="19:98" x14ac:dyDescent="0.25">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c r="CS87" s="176"/>
      <c r="CT87" s="176"/>
    </row>
    <row r="88" spans="19:98" x14ac:dyDescent="0.25">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c r="CS88" s="176"/>
      <c r="CT88" s="176"/>
    </row>
    <row r="89" spans="19:98" x14ac:dyDescent="0.25">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c r="CS89" s="176"/>
      <c r="CT89" s="176"/>
    </row>
    <row r="90" spans="19:98" x14ac:dyDescent="0.25">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c r="CS90" s="176"/>
      <c r="CT90" s="176"/>
    </row>
    <row r="91" spans="19:98" x14ac:dyDescent="0.25">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c r="CS91" s="176"/>
      <c r="CT91" s="176"/>
    </row>
    <row r="92" spans="19:98" x14ac:dyDescent="0.25">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c r="CS92" s="176"/>
      <c r="CT92" s="176"/>
    </row>
    <row r="93" spans="19:98" x14ac:dyDescent="0.25">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c r="CS93" s="176"/>
      <c r="CT93" s="176"/>
    </row>
    <row r="94" spans="19:98" x14ac:dyDescent="0.25">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c r="CS94" s="176"/>
      <c r="CT94" s="176"/>
    </row>
    <row r="95" spans="19:98" x14ac:dyDescent="0.25">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c r="CS95" s="176"/>
      <c r="CT95" s="176"/>
    </row>
    <row r="96" spans="19:98" x14ac:dyDescent="0.25">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c r="CS96" s="176"/>
      <c r="CT96" s="176"/>
    </row>
    <row r="97" spans="19:98" x14ac:dyDescent="0.25">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c r="CS97" s="176"/>
      <c r="CT97" s="176"/>
    </row>
    <row r="98" spans="19:98" x14ac:dyDescent="0.25">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row>
    <row r="99" spans="19:98" x14ac:dyDescent="0.25">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c r="CS99" s="176"/>
      <c r="CT99" s="176"/>
    </row>
    <row r="100" spans="19:98" x14ac:dyDescent="0.25">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c r="CS100" s="176"/>
      <c r="CT100" s="176"/>
    </row>
    <row r="101" spans="19:98" x14ac:dyDescent="0.25">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c r="CS101" s="176"/>
      <c r="CT101" s="176"/>
    </row>
    <row r="102" spans="19:98" x14ac:dyDescent="0.25">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c r="CS102" s="176"/>
      <c r="CT102" s="176"/>
    </row>
    <row r="103" spans="19:98" x14ac:dyDescent="0.25">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c r="CS103" s="176"/>
      <c r="CT103" s="176"/>
    </row>
    <row r="104" spans="19:98" x14ac:dyDescent="0.25">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c r="CS104" s="176"/>
      <c r="CT104" s="176"/>
    </row>
    <row r="105" spans="19:98" x14ac:dyDescent="0.25">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c r="CS105" s="176"/>
      <c r="CT105" s="176"/>
    </row>
    <row r="106" spans="19:98" x14ac:dyDescent="0.25">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c r="CS106" s="176"/>
      <c r="CT106" s="176"/>
    </row>
    <row r="107" spans="19:98" x14ac:dyDescent="0.25">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c r="CS107" s="176"/>
      <c r="CT107" s="176"/>
    </row>
    <row r="108" spans="19:98" x14ac:dyDescent="0.25">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row>
    <row r="109" spans="19:98" x14ac:dyDescent="0.25">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c r="CS109" s="176"/>
      <c r="CT109" s="176"/>
    </row>
    <row r="110" spans="19:98" x14ac:dyDescent="0.25">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c r="CS110" s="176"/>
      <c r="CT110" s="176"/>
    </row>
    <row r="111" spans="19:98" x14ac:dyDescent="0.25">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c r="CS111" s="176"/>
      <c r="CT111" s="176"/>
    </row>
    <row r="112" spans="19:98" x14ac:dyDescent="0.25">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c r="CS112" s="176"/>
      <c r="CT112" s="176"/>
    </row>
    <row r="113" spans="19:98" x14ac:dyDescent="0.25">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c r="CS113" s="176"/>
      <c r="CT113" s="176"/>
    </row>
    <row r="114" spans="19:98" x14ac:dyDescent="0.25">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c r="CS114" s="176"/>
      <c r="CT114" s="176"/>
    </row>
    <row r="115" spans="19:98" x14ac:dyDescent="0.25">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c r="CS115" s="176"/>
      <c r="CT115" s="176"/>
    </row>
    <row r="116" spans="19:98" x14ac:dyDescent="0.25">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c r="CS116" s="176"/>
      <c r="CT116" s="176"/>
    </row>
    <row r="117" spans="19:98" x14ac:dyDescent="0.25">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c r="CS117" s="176"/>
      <c r="CT117" s="176"/>
    </row>
    <row r="118" spans="19:98" x14ac:dyDescent="0.25">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c r="CS118" s="176"/>
      <c r="CT118" s="176"/>
    </row>
    <row r="119" spans="19:98" x14ac:dyDescent="0.25">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c r="CS119" s="176"/>
      <c r="CT119" s="176"/>
    </row>
    <row r="120" spans="19:98" x14ac:dyDescent="0.25">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c r="CS120" s="176"/>
      <c r="CT120" s="176"/>
    </row>
    <row r="121" spans="19:98" x14ac:dyDescent="0.25">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c r="CS121" s="176"/>
      <c r="CT121" s="176"/>
    </row>
    <row r="122" spans="19:98" x14ac:dyDescent="0.25">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c r="CS122" s="176"/>
      <c r="CT122" s="176"/>
    </row>
    <row r="123" spans="19:98" x14ac:dyDescent="0.25">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c r="CS123" s="176"/>
      <c r="CT123" s="176"/>
    </row>
    <row r="124" spans="19:98" x14ac:dyDescent="0.25">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c r="CS124" s="176"/>
      <c r="CT124" s="176"/>
    </row>
    <row r="125" spans="19:98" x14ac:dyDescent="0.25">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6"/>
      <c r="CT125" s="176"/>
    </row>
    <row r="126" spans="19:98" x14ac:dyDescent="0.25">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c r="CS126" s="176"/>
      <c r="CT126" s="176"/>
    </row>
    <row r="127" spans="19:98" x14ac:dyDescent="0.25">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6"/>
      <c r="CT127" s="176"/>
    </row>
    <row r="128" spans="19:98" x14ac:dyDescent="0.25">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c r="CS128" s="176"/>
      <c r="CT128" s="176"/>
    </row>
    <row r="129" spans="19:98" x14ac:dyDescent="0.25">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c r="CS129" s="176"/>
      <c r="CT129" s="176"/>
    </row>
    <row r="130" spans="19:98" x14ac:dyDescent="0.25">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c r="CS130" s="176"/>
      <c r="CT130" s="176"/>
    </row>
    <row r="131" spans="19:98" x14ac:dyDescent="0.25">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c r="CS131" s="176"/>
      <c r="CT131" s="176"/>
    </row>
    <row r="132" spans="19:98" x14ac:dyDescent="0.25">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c r="CS132" s="176"/>
      <c r="CT132" s="176"/>
    </row>
    <row r="133" spans="19:98" x14ac:dyDescent="0.25">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c r="CS133" s="176"/>
      <c r="CT133" s="176"/>
    </row>
    <row r="134" spans="19:98" x14ac:dyDescent="0.25">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c r="CS134" s="176"/>
      <c r="CT134" s="176"/>
    </row>
    <row r="135" spans="19:98" x14ac:dyDescent="0.25">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6"/>
      <c r="CT135" s="176"/>
    </row>
    <row r="136" spans="19:98" x14ac:dyDescent="0.25">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c r="CS136" s="176"/>
      <c r="CT136" s="176"/>
    </row>
    <row r="137" spans="19:98" x14ac:dyDescent="0.25">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c r="CS137" s="176"/>
      <c r="CT137" s="176"/>
    </row>
    <row r="138" spans="19:98" x14ac:dyDescent="0.25">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c r="CS138" s="176"/>
      <c r="CT138" s="176"/>
    </row>
    <row r="139" spans="19:98" x14ac:dyDescent="0.25">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c r="CS139" s="176"/>
      <c r="CT139" s="176"/>
    </row>
    <row r="140" spans="19:98" x14ac:dyDescent="0.25">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c r="CS140" s="176"/>
      <c r="CT140" s="176"/>
    </row>
    <row r="141" spans="19:98" x14ac:dyDescent="0.25">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c r="CS141" s="176"/>
      <c r="CT141" s="176"/>
    </row>
    <row r="142" spans="19:98" x14ac:dyDescent="0.25">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c r="CS142" s="176"/>
      <c r="CT142" s="176"/>
    </row>
    <row r="143" spans="19:98" x14ac:dyDescent="0.25">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6"/>
      <c r="CT143" s="176"/>
    </row>
    <row r="144" spans="19:98" x14ac:dyDescent="0.25">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c r="CS144" s="176"/>
      <c r="CT144" s="176"/>
    </row>
    <row r="145" spans="19:98" x14ac:dyDescent="0.25">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c r="CS145" s="176"/>
      <c r="CT145" s="176"/>
    </row>
    <row r="146" spans="19:98" x14ac:dyDescent="0.25">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c r="CS146" s="176"/>
      <c r="CT146" s="176"/>
    </row>
    <row r="147" spans="19:98" x14ac:dyDescent="0.25">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6"/>
      <c r="CT147" s="176"/>
    </row>
    <row r="148" spans="19:98" x14ac:dyDescent="0.25">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c r="CS148" s="176"/>
      <c r="CT148" s="176"/>
    </row>
    <row r="149" spans="19:98" x14ac:dyDescent="0.25">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c r="CS149" s="176"/>
      <c r="CT149" s="176"/>
    </row>
    <row r="150" spans="19:98" x14ac:dyDescent="0.25">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c r="CS150" s="176"/>
      <c r="CT150" s="176"/>
    </row>
    <row r="151" spans="19:98" x14ac:dyDescent="0.25">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c r="CS151" s="176"/>
      <c r="CT151" s="176"/>
    </row>
    <row r="152" spans="19:98" x14ac:dyDescent="0.25">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c r="CS152" s="176"/>
      <c r="CT152" s="176"/>
    </row>
    <row r="153" spans="19:98" x14ac:dyDescent="0.25">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c r="CS153" s="176"/>
      <c r="CT153" s="176"/>
    </row>
    <row r="154" spans="19:98" x14ac:dyDescent="0.25">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c r="CS154" s="176"/>
      <c r="CT154" s="176"/>
    </row>
    <row r="155" spans="19:98" x14ac:dyDescent="0.25">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6"/>
      <c r="CT155" s="176"/>
    </row>
    <row r="156" spans="19:98" x14ac:dyDescent="0.25">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c r="CS156" s="176"/>
      <c r="CT156" s="176"/>
    </row>
    <row r="157" spans="19:98" x14ac:dyDescent="0.25">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c r="CS157" s="176"/>
      <c r="CT157" s="176"/>
    </row>
    <row r="158" spans="19:98" x14ac:dyDescent="0.25">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c r="CS158" s="176"/>
      <c r="CT158" s="176"/>
    </row>
    <row r="159" spans="19:98" x14ac:dyDescent="0.25">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c r="CS159" s="176"/>
      <c r="CT159" s="176"/>
    </row>
    <row r="160" spans="19:98" x14ac:dyDescent="0.25">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c r="CS160" s="176"/>
      <c r="CT160" s="176"/>
    </row>
    <row r="161" spans="19:98" x14ac:dyDescent="0.25">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c r="CS161" s="176"/>
      <c r="CT161" s="176"/>
    </row>
    <row r="162" spans="19:98" x14ac:dyDescent="0.25">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c r="CS162" s="176"/>
      <c r="CT162" s="176"/>
    </row>
    <row r="163" spans="19:98" x14ac:dyDescent="0.25">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6"/>
      <c r="CT163" s="176"/>
    </row>
    <row r="164" spans="19:98" x14ac:dyDescent="0.25">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c r="CS164" s="176"/>
      <c r="CT164" s="176"/>
    </row>
    <row r="165" spans="19:98" x14ac:dyDescent="0.25">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c r="CS165" s="176"/>
      <c r="CT165" s="176"/>
    </row>
    <row r="166" spans="19:98" x14ac:dyDescent="0.25">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c r="CS166" s="176"/>
      <c r="CT166" s="176"/>
    </row>
    <row r="167" spans="19:98" x14ac:dyDescent="0.25">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6"/>
      <c r="CT167" s="176"/>
    </row>
    <row r="168" spans="19:98" x14ac:dyDescent="0.25">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c r="CS168" s="176"/>
      <c r="CT168" s="176"/>
    </row>
    <row r="169" spans="19:98" x14ac:dyDescent="0.25">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c r="CS169" s="176"/>
      <c r="CT169" s="176"/>
    </row>
    <row r="170" spans="19:98" x14ac:dyDescent="0.25">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c r="CS170" s="176"/>
      <c r="CT170" s="176"/>
    </row>
    <row r="171" spans="19:98" x14ac:dyDescent="0.25">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6"/>
      <c r="CT171" s="176"/>
    </row>
    <row r="172" spans="19:98" x14ac:dyDescent="0.25">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c r="CS172" s="176"/>
      <c r="CT172" s="176"/>
    </row>
    <row r="173" spans="19:98" x14ac:dyDescent="0.25">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6"/>
      <c r="CT173" s="176"/>
    </row>
    <row r="174" spans="19:98" x14ac:dyDescent="0.25">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c r="CS174" s="176"/>
      <c r="CT174" s="176"/>
    </row>
    <row r="175" spans="19:98" x14ac:dyDescent="0.25">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6"/>
      <c r="CT175" s="176"/>
    </row>
    <row r="176" spans="19:98" x14ac:dyDescent="0.25">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c r="CS176" s="176"/>
      <c r="CT176" s="176"/>
    </row>
    <row r="177" spans="19:98" x14ac:dyDescent="0.25">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6"/>
      <c r="CT177" s="176"/>
    </row>
    <row r="178" spans="19:98" x14ac:dyDescent="0.25">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c r="CS178" s="176"/>
      <c r="CT178" s="176"/>
    </row>
    <row r="179" spans="19:98" x14ac:dyDescent="0.25">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6"/>
      <c r="CT179" s="176"/>
    </row>
    <row r="180" spans="19:98" x14ac:dyDescent="0.25">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c r="CS180" s="176"/>
      <c r="CT180" s="176"/>
    </row>
    <row r="181" spans="19:98" x14ac:dyDescent="0.25">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6"/>
      <c r="CT181" s="176"/>
    </row>
    <row r="182" spans="19:98" x14ac:dyDescent="0.25">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c r="CS182" s="176"/>
      <c r="CT182" s="176"/>
    </row>
    <row r="183" spans="19:98" x14ac:dyDescent="0.25">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6"/>
      <c r="CT183" s="176"/>
    </row>
    <row r="184" spans="19:98" x14ac:dyDescent="0.25">
      <c r="S184" s="176"/>
      <c r="T184" s="176"/>
      <c r="U184" s="176"/>
      <c r="V184" s="176"/>
      <c r="W184" s="176"/>
      <c r="X184" s="176"/>
      <c r="Y184" s="176"/>
      <c r="Z184" s="176"/>
      <c r="AA184" s="176"/>
      <c r="AB184" s="176"/>
    </row>
    <row r="185" spans="19:98" x14ac:dyDescent="0.25">
      <c r="S185" s="176"/>
      <c r="T185" s="176"/>
      <c r="U185" s="176"/>
      <c r="V185" s="176"/>
      <c r="W185" s="176"/>
      <c r="X185" s="176"/>
      <c r="Y185" s="176"/>
      <c r="Z185" s="176"/>
      <c r="AA185" s="176"/>
      <c r="AB185" s="176"/>
    </row>
    <row r="186" spans="19:98" x14ac:dyDescent="0.25">
      <c r="S186" s="176"/>
      <c r="T186" s="176"/>
      <c r="U186" s="176"/>
      <c r="V186" s="176"/>
      <c r="W186" s="176"/>
      <c r="X186" s="176"/>
      <c r="Y186" s="176"/>
      <c r="Z186" s="176"/>
      <c r="AA186" s="176"/>
      <c r="AB186" s="176"/>
    </row>
    <row r="187" spans="19:98" x14ac:dyDescent="0.25">
      <c r="S187" s="176"/>
      <c r="T187" s="176"/>
      <c r="U187" s="176"/>
      <c r="V187" s="176"/>
      <c r="W187" s="176"/>
      <c r="X187" s="176"/>
      <c r="Y187" s="176"/>
      <c r="Z187" s="176"/>
      <c r="AA187" s="176"/>
      <c r="AB187" s="176"/>
    </row>
    <row r="188" spans="19:98" x14ac:dyDescent="0.25">
      <c r="S188" s="176"/>
      <c r="T188" s="176"/>
      <c r="U188" s="176"/>
      <c r="V188" s="176"/>
      <c r="W188" s="176"/>
      <c r="X188" s="176"/>
      <c r="Y188" s="176"/>
      <c r="Z188" s="176"/>
      <c r="AA188" s="176"/>
      <c r="AB188" s="176"/>
    </row>
    <row r="189" spans="19:98" x14ac:dyDescent="0.25">
      <c r="S189" s="176"/>
      <c r="T189" s="176"/>
      <c r="U189" s="176"/>
      <c r="V189" s="176"/>
      <c r="W189" s="176"/>
      <c r="X189" s="176"/>
      <c r="Y189" s="176"/>
      <c r="Z189" s="176"/>
      <c r="AA189" s="176"/>
      <c r="AB189" s="176"/>
    </row>
    <row r="190" spans="19:98" x14ac:dyDescent="0.25">
      <c r="S190" s="176"/>
      <c r="T190" s="176"/>
      <c r="U190" s="176"/>
      <c r="V190" s="176"/>
      <c r="W190" s="176"/>
      <c r="X190" s="176"/>
      <c r="Y190" s="176"/>
      <c r="Z190" s="176"/>
      <c r="AA190" s="176"/>
      <c r="AB190" s="176"/>
    </row>
    <row r="191" spans="19:98" x14ac:dyDescent="0.25">
      <c r="S191" s="176"/>
      <c r="T191" s="176"/>
      <c r="U191" s="176"/>
      <c r="V191" s="176"/>
      <c r="W191" s="176"/>
      <c r="X191" s="176"/>
      <c r="Y191" s="176"/>
      <c r="Z191" s="176"/>
      <c r="AA191" s="176"/>
      <c r="AB191" s="176"/>
    </row>
    <row r="192" spans="19:98" x14ac:dyDescent="0.25">
      <c r="S192" s="176"/>
      <c r="T192" s="176"/>
      <c r="U192" s="176"/>
      <c r="V192" s="176"/>
      <c r="W192" s="176"/>
      <c r="X192" s="176"/>
      <c r="Y192" s="176"/>
      <c r="Z192" s="176"/>
      <c r="AA192" s="176"/>
      <c r="AB192" s="176"/>
    </row>
    <row r="193" spans="19:28" x14ac:dyDescent="0.25">
      <c r="S193" s="176"/>
      <c r="T193" s="176"/>
      <c r="U193" s="176"/>
      <c r="V193" s="176"/>
      <c r="W193" s="176"/>
      <c r="X193" s="176"/>
      <c r="Y193" s="176"/>
      <c r="Z193" s="176"/>
      <c r="AA193" s="176"/>
      <c r="AB193" s="176"/>
    </row>
    <row r="194" spans="19:28" x14ac:dyDescent="0.25">
      <c r="S194" s="176"/>
      <c r="T194" s="176"/>
      <c r="U194" s="176"/>
      <c r="V194" s="176"/>
      <c r="W194" s="176"/>
      <c r="X194" s="176"/>
      <c r="Y194" s="176"/>
      <c r="Z194" s="176"/>
      <c r="AA194" s="176"/>
      <c r="AB194" s="176"/>
    </row>
    <row r="195" spans="19:28" x14ac:dyDescent="0.25">
      <c r="S195" s="176"/>
      <c r="T195" s="176"/>
      <c r="U195" s="176"/>
      <c r="V195" s="176"/>
      <c r="W195" s="176"/>
      <c r="X195" s="176"/>
      <c r="Y195" s="176"/>
      <c r="Z195" s="176"/>
      <c r="AA195" s="176"/>
      <c r="AB195" s="176"/>
    </row>
    <row r="196" spans="19:28" x14ac:dyDescent="0.25">
      <c r="S196" s="176"/>
      <c r="T196" s="176"/>
      <c r="U196" s="176"/>
      <c r="V196" s="176"/>
      <c r="W196" s="176"/>
      <c r="X196" s="176"/>
      <c r="Y196" s="176"/>
      <c r="Z196" s="176"/>
      <c r="AA196" s="176"/>
      <c r="AB196" s="176"/>
    </row>
    <row r="197" spans="19:28" x14ac:dyDescent="0.25">
      <c r="S197" s="176"/>
      <c r="T197" s="176"/>
      <c r="U197" s="176"/>
      <c r="V197" s="176"/>
      <c r="W197" s="176"/>
      <c r="X197" s="176"/>
      <c r="Y197" s="176"/>
      <c r="Z197" s="176"/>
      <c r="AA197" s="176"/>
      <c r="AB197" s="176"/>
    </row>
    <row r="198" spans="19:28" x14ac:dyDescent="0.25">
      <c r="S198" s="176"/>
      <c r="T198" s="176"/>
      <c r="U198" s="176"/>
      <c r="V198" s="176"/>
      <c r="W198" s="176"/>
      <c r="X198" s="176"/>
      <c r="Y198" s="176"/>
      <c r="Z198" s="176"/>
      <c r="AA198" s="176"/>
      <c r="AB198" s="176"/>
    </row>
    <row r="199" spans="19:28" x14ac:dyDescent="0.25">
      <c r="S199" s="176"/>
      <c r="T199" s="176"/>
      <c r="U199" s="176"/>
      <c r="V199" s="176"/>
      <c r="W199" s="176"/>
      <c r="X199" s="176"/>
      <c r="Y199" s="176"/>
      <c r="Z199" s="176"/>
      <c r="AA199" s="176"/>
      <c r="AB199" s="176"/>
    </row>
    <row r="200" spans="19:28" x14ac:dyDescent="0.25">
      <c r="S200" s="176"/>
      <c r="T200" s="176"/>
      <c r="U200" s="176"/>
      <c r="V200" s="176"/>
      <c r="W200" s="176"/>
      <c r="X200" s="176"/>
      <c r="Y200" s="176"/>
      <c r="Z200" s="176"/>
      <c r="AA200" s="176"/>
      <c r="AB200" s="176"/>
    </row>
    <row r="201" spans="19:28" x14ac:dyDescent="0.25">
      <c r="S201" s="176"/>
      <c r="T201" s="176"/>
      <c r="U201" s="176"/>
      <c r="V201" s="176"/>
      <c r="W201" s="176"/>
      <c r="X201" s="176"/>
      <c r="Y201" s="176"/>
      <c r="Z201" s="176"/>
      <c r="AA201" s="176"/>
      <c r="AB201" s="176"/>
    </row>
    <row r="202" spans="19:28" x14ac:dyDescent="0.25">
      <c r="S202" s="176"/>
      <c r="T202" s="176"/>
      <c r="U202" s="176"/>
      <c r="V202" s="176"/>
      <c r="W202" s="176"/>
      <c r="X202" s="176"/>
      <c r="Y202" s="176"/>
      <c r="Z202" s="176"/>
      <c r="AA202" s="176"/>
      <c r="AB202" s="176"/>
    </row>
    <row r="203" spans="19:28" x14ac:dyDescent="0.25">
      <c r="S203" s="176"/>
      <c r="T203" s="176"/>
      <c r="U203" s="176"/>
      <c r="V203" s="176"/>
      <c r="W203" s="176"/>
      <c r="X203" s="176"/>
      <c r="Y203" s="176"/>
      <c r="Z203" s="176"/>
      <c r="AA203" s="176"/>
      <c r="AB203" s="176"/>
    </row>
    <row r="204" spans="19:28" x14ac:dyDescent="0.25">
      <c r="S204" s="176"/>
      <c r="T204" s="176"/>
      <c r="U204" s="176"/>
      <c r="V204" s="176"/>
      <c r="W204" s="176"/>
      <c r="X204" s="176"/>
      <c r="Y204" s="176"/>
      <c r="Z204" s="176"/>
      <c r="AA204" s="176"/>
      <c r="AB204" s="176"/>
    </row>
    <row r="205" spans="19:28" x14ac:dyDescent="0.25">
      <c r="S205" s="176"/>
      <c r="T205" s="176"/>
      <c r="U205" s="176"/>
      <c r="V205" s="176"/>
      <c r="W205" s="176"/>
      <c r="X205" s="176"/>
      <c r="Y205" s="176"/>
      <c r="Z205" s="176"/>
      <c r="AA205" s="176"/>
      <c r="AB205" s="176"/>
    </row>
    <row r="206" spans="19:28" x14ac:dyDescent="0.25">
      <c r="S206" s="176"/>
      <c r="T206" s="176"/>
      <c r="U206" s="176"/>
      <c r="V206" s="176"/>
      <c r="W206" s="176"/>
      <c r="X206" s="176"/>
      <c r="Y206" s="176"/>
      <c r="Z206" s="176"/>
      <c r="AA206" s="176"/>
      <c r="AB206" s="176"/>
    </row>
  </sheetData>
  <mergeCells count="1">
    <mergeCell ref="I2:I6"/>
  </mergeCells>
  <conditionalFormatting sqref="J7:M31">
    <cfRule type="colorScale" priority="29">
      <colorScale>
        <cfvo type="min"/>
        <cfvo type="percentile" val="50"/>
        <cfvo type="max"/>
        <color rgb="FFF8696B"/>
        <color theme="0"/>
        <color rgb="FF63BE7B"/>
      </colorScale>
    </cfRule>
  </conditionalFormatting>
  <conditionalFormatting sqref="S7:AB31">
    <cfRule type="cellIs" dxfId="2" priority="31" operator="equal">
      <formula>"A"</formula>
    </cfRule>
    <cfRule type="cellIs" dxfId="1" priority="32" operator="equal">
      <formula>"X"</formula>
    </cfRule>
    <cfRule type="colorScale" priority="33">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vt:i4>
      </vt:variant>
    </vt:vector>
  </HeadingPairs>
  <TitlesOfParts>
    <vt:vector size="21"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lpstr>Analysis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2021-03-15T23:37:32Z</dcterms:created>
  <dcterms:modified xsi:type="dcterms:W3CDTF">2021-03-16T00:29:10Z</dcterms:modified>
</cp:coreProperties>
</file>