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bvmm\Dropbox\Berts Files\Work in DROPBOX\CoSeT\GitHub Version\Sample Data\CoSeT V6W Sample\"/>
    </mc:Choice>
  </mc:AlternateContent>
  <xr:revisionPtr revIDLastSave="0" documentId="13_ncr:1_{1021E191-B4C0-4579-92BF-C19F2161AF81}" xr6:coauthVersionLast="46" xr6:coauthVersionMax="46" xr10:uidLastSave="{00000000-0000-0000-0000-000000000000}"/>
  <bookViews>
    <workbookView xWindow="-120" yWindow="-120" windowWidth="29040" windowHeight="15840" tabRatio="800" xr2:uid="{92C6001E-7211-41DD-8FC4-BAE1ED4FC41B}"/>
  </bookViews>
  <sheets>
    <sheet name="Competition Parameters" sheetId="1" r:id="rId1"/>
    <sheet name="Criteria" sheetId="2" r:id="rId2"/>
    <sheet name="Projects" sheetId="3" r:id="rId3"/>
    <sheet name="Markers" sheetId="4" r:id="rId4"/>
    <sheet name="Keywords" sheetId="5" r:id="rId5"/>
    <sheet name="Project Keywords" sheetId="6" r:id="rId6"/>
    <sheet name="Marker Expertise" sheetId="7" r:id="rId7"/>
    <sheet name="Project X Marker Table" sheetId="8" r:id="rId8"/>
    <sheet name="Expertise Crosswalk" sheetId="9" r:id="rId9"/>
    <sheet name="Assignments Master" sheetId="10" r:id="rId10"/>
    <sheet name="Results" sheetId="11" r:id="rId11"/>
    <sheet name="Analysis" sheetId="12" r:id="rId12"/>
    <sheet name="Analysis Chart" sheetId="21" r:id="rId13"/>
    <sheet name="Expertise by Projects - Instr." sheetId="13" state="hidden" r:id="rId14"/>
    <sheet name="Expertise by Keywords - Instr." sheetId="14" state="hidden" r:id="rId15"/>
    <sheet name="Marker Project - template" sheetId="15" state="hidden" r:id="rId16"/>
    <sheet name="Marker Keyword - template" sheetId="16" state="hidden" r:id="rId17"/>
    <sheet name="Instructions to Markers" sheetId="17" state="hidden" r:id="rId18"/>
    <sheet name="Scores and Comments - template" sheetId="18" state="hidden" r:id="rId19"/>
    <sheet name="Marker Scoresheet - template" sheetId="19" state="hidden" r:id="rId20"/>
    <sheet name="Project Comments - template" sheetId="20" state="hidden" r:id="rId21"/>
  </sheets>
  <definedNames>
    <definedName name="_xlnm._FilterDatabase" localSheetId="8" hidden="1">'Expertise Crosswalk'!$N$1:$N$16</definedName>
    <definedName name="_xlnm._FilterDatabase" localSheetId="16" hidden="1">'Marker Keyword - template'!$C$1:$C$5</definedName>
    <definedName name="_xlnm._FilterDatabase" localSheetId="15" hidden="1">'Marker Project - template'!$F$1:$G$2</definedName>
    <definedName name="_xlnm._FilterDatabase" localSheetId="3" hidden="1">Markers!$B:$B</definedName>
    <definedName name="_xlnm.Extract" localSheetId="3">Markers!#REF!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2" l="1"/>
  <c r="L4" i="12"/>
  <c r="L8" i="12"/>
  <c r="J8" i="12"/>
  <c r="I9" i="12"/>
  <c r="J9" i="12"/>
  <c r="K9" i="12" s="1"/>
  <c r="M9" i="12"/>
  <c r="R9" i="12"/>
  <c r="W9" i="12" s="1"/>
  <c r="J13" i="12"/>
  <c r="H13" i="12"/>
  <c r="I13" i="12"/>
  <c r="L13" i="12"/>
  <c r="M13" i="12"/>
  <c r="R13" i="12"/>
  <c r="T13" i="12" s="1"/>
  <c r="I5" i="12"/>
  <c r="H5" i="12"/>
  <c r="H10" i="12"/>
  <c r="H6" i="12"/>
  <c r="I6" i="12"/>
  <c r="J6" i="12"/>
  <c r="K6" i="12" s="1"/>
  <c r="L6" i="12"/>
  <c r="M6" i="12"/>
  <c r="R6" i="12"/>
  <c r="S6" i="12" s="1"/>
  <c r="H7" i="12"/>
  <c r="I7" i="12"/>
  <c r="J7" i="12"/>
  <c r="L7" i="12"/>
  <c r="M7" i="12"/>
  <c r="R7" i="12"/>
  <c r="S7" i="12" s="1"/>
  <c r="M11" i="12"/>
  <c r="H11" i="12"/>
  <c r="L11" i="12"/>
  <c r="B31" i="20"/>
  <c r="D31" i="20"/>
  <c r="B27" i="20"/>
  <c r="D27" i="20"/>
  <c r="B23" i="20"/>
  <c r="D23" i="20"/>
  <c r="B19" i="20"/>
  <c r="D19" i="20" s="1"/>
  <c r="B15" i="20"/>
  <c r="D15" i="20" s="1"/>
  <c r="B11" i="20"/>
  <c r="D11" i="20" s="1"/>
  <c r="B42" i="18"/>
  <c r="D43" i="18" s="1"/>
  <c r="B37" i="18"/>
  <c r="D38" i="18"/>
  <c r="B32" i="18"/>
  <c r="D33" i="18" s="1"/>
  <c r="B27" i="18"/>
  <c r="D28" i="18" s="1"/>
  <c r="B22" i="18"/>
  <c r="D22" i="18" s="1"/>
  <c r="B17" i="18"/>
  <c r="D18" i="18" s="1"/>
  <c r="B18" i="18"/>
  <c r="D17" i="18"/>
  <c r="M5" i="19"/>
  <c r="N5" i="19"/>
  <c r="O5" i="19"/>
  <c r="P5" i="19"/>
  <c r="Q5" i="19"/>
  <c r="R5" i="19"/>
  <c r="M6" i="19"/>
  <c r="N6" i="19"/>
  <c r="O6" i="19"/>
  <c r="P6" i="19"/>
  <c r="Q6" i="19"/>
  <c r="R6" i="19"/>
  <c r="M7" i="19"/>
  <c r="N7" i="19"/>
  <c r="O7" i="19"/>
  <c r="P7" i="19"/>
  <c r="Q7" i="19"/>
  <c r="R7" i="19"/>
  <c r="M9" i="19"/>
  <c r="N9" i="19"/>
  <c r="O9" i="19"/>
  <c r="P9" i="19"/>
  <c r="Q9" i="19"/>
  <c r="R9" i="19"/>
  <c r="M10" i="19"/>
  <c r="N10" i="19"/>
  <c r="O10" i="19"/>
  <c r="P10" i="19"/>
  <c r="Q10" i="19"/>
  <c r="R10" i="19"/>
  <c r="E5" i="19"/>
  <c r="F5" i="19"/>
  <c r="G5" i="19"/>
  <c r="G6" i="19" s="1"/>
  <c r="H5" i="19"/>
  <c r="H6" i="19" s="1"/>
  <c r="I5" i="19"/>
  <c r="I7" i="19" s="1"/>
  <c r="J5" i="19"/>
  <c r="J7" i="19" s="1"/>
  <c r="E6" i="19"/>
  <c r="F6" i="19"/>
  <c r="E7" i="19"/>
  <c r="F7" i="19"/>
  <c r="G7" i="19"/>
  <c r="H7" i="19"/>
  <c r="B3" i="16"/>
  <c r="B4" i="16"/>
  <c r="B5" i="16"/>
  <c r="B3" i="15"/>
  <c r="C3" i="15"/>
  <c r="D3" i="15"/>
  <c r="E3" i="15"/>
  <c r="F3" i="15"/>
  <c r="B4" i="15"/>
  <c r="C4" i="15"/>
  <c r="D4" i="15"/>
  <c r="E4" i="15"/>
  <c r="F4" i="15"/>
  <c r="B5" i="15"/>
  <c r="C5" i="15"/>
  <c r="D5" i="15"/>
  <c r="E5" i="15"/>
  <c r="F5" i="15"/>
  <c r="B6" i="15"/>
  <c r="C6" i="15"/>
  <c r="D6" i="15"/>
  <c r="E6" i="15"/>
  <c r="F6" i="15"/>
  <c r="B7" i="15"/>
  <c r="C7" i="15"/>
  <c r="D7" i="15"/>
  <c r="E7" i="15"/>
  <c r="F7" i="15"/>
  <c r="B8" i="15"/>
  <c r="C8" i="15"/>
  <c r="D8" i="15"/>
  <c r="E8" i="15"/>
  <c r="F8" i="15"/>
  <c r="B9" i="15"/>
  <c r="C9" i="15"/>
  <c r="D9" i="15"/>
  <c r="E9" i="15"/>
  <c r="F9" i="15"/>
  <c r="B10" i="15"/>
  <c r="C10" i="15"/>
  <c r="D10" i="15"/>
  <c r="E10" i="15"/>
  <c r="F10" i="15"/>
  <c r="B11" i="15"/>
  <c r="C11" i="15"/>
  <c r="D11" i="15"/>
  <c r="E11" i="15"/>
  <c r="F11" i="15"/>
  <c r="AH6" i="11"/>
  <c r="AI6" i="11"/>
  <c r="AK6" i="11"/>
  <c r="AL6" i="11"/>
  <c r="AH7" i="11"/>
  <c r="AI7" i="11"/>
  <c r="AK7" i="11"/>
  <c r="AL7" i="11"/>
  <c r="AH8" i="11"/>
  <c r="AI8" i="11"/>
  <c r="AK8" i="11"/>
  <c r="AL8" i="11"/>
  <c r="AH9" i="11"/>
  <c r="AI9" i="11"/>
  <c r="AK9" i="11"/>
  <c r="AL9" i="11"/>
  <c r="AH10" i="11"/>
  <c r="AI10" i="11"/>
  <c r="AK10" i="11"/>
  <c r="AL10" i="11"/>
  <c r="AH11" i="11"/>
  <c r="AI11" i="11"/>
  <c r="AK11" i="11"/>
  <c r="AL11" i="11"/>
  <c r="AH12" i="11"/>
  <c r="AI12" i="11"/>
  <c r="AK12" i="11"/>
  <c r="AL12" i="11"/>
  <c r="AH13" i="11"/>
  <c r="AI13" i="11"/>
  <c r="AK13" i="11"/>
  <c r="AL13" i="11"/>
  <c r="AH14" i="11"/>
  <c r="AI14" i="11"/>
  <c r="AK14" i="11"/>
  <c r="AL14" i="11"/>
  <c r="AH15" i="11"/>
  <c r="AI15" i="11"/>
  <c r="AK15" i="11"/>
  <c r="AL15" i="11"/>
  <c r="AH16" i="11"/>
  <c r="AI16" i="11"/>
  <c r="AK16" i="11"/>
  <c r="AL16" i="11"/>
  <c r="AH17" i="11"/>
  <c r="AI17" i="11"/>
  <c r="AK17" i="11"/>
  <c r="AL17" i="11"/>
  <c r="AH18" i="11"/>
  <c r="AI18" i="11"/>
  <c r="AK18" i="11"/>
  <c r="AL18" i="11"/>
  <c r="AH19" i="11"/>
  <c r="AI19" i="11"/>
  <c r="AK19" i="11"/>
  <c r="AL19" i="11"/>
  <c r="AH20" i="11"/>
  <c r="AI20" i="11"/>
  <c r="AK20" i="11"/>
  <c r="AL20" i="11"/>
  <c r="AH21" i="11"/>
  <c r="AI21" i="11"/>
  <c r="AK21" i="11"/>
  <c r="AL21" i="11"/>
  <c r="AH22" i="11"/>
  <c r="AI22" i="11"/>
  <c r="AK22" i="11"/>
  <c r="AL22" i="11"/>
  <c r="AH23" i="11"/>
  <c r="AI23" i="11"/>
  <c r="AK23" i="11"/>
  <c r="AL23" i="11"/>
  <c r="AH24" i="11"/>
  <c r="AI24" i="11"/>
  <c r="AK24" i="11"/>
  <c r="AL24" i="11"/>
  <c r="AH25" i="11"/>
  <c r="AI25" i="11"/>
  <c r="AK25" i="11"/>
  <c r="AL25" i="11"/>
  <c r="AH26" i="11"/>
  <c r="AI26" i="11"/>
  <c r="AK26" i="11"/>
  <c r="AL26" i="11"/>
  <c r="AH27" i="11"/>
  <c r="AI27" i="11"/>
  <c r="AK27" i="11"/>
  <c r="AL27" i="11"/>
  <c r="AH28" i="11"/>
  <c r="AI28" i="11"/>
  <c r="AK28" i="11"/>
  <c r="AL28" i="11"/>
  <c r="AH29" i="11"/>
  <c r="AI29" i="11"/>
  <c r="AK29" i="11"/>
  <c r="AL29" i="11"/>
  <c r="AH30" i="11"/>
  <c r="AI30" i="11"/>
  <c r="AK30" i="11"/>
  <c r="AL30" i="11"/>
  <c r="AH31" i="11"/>
  <c r="AI31" i="11"/>
  <c r="AK31" i="11"/>
  <c r="AL31" i="11"/>
  <c r="AH32" i="11"/>
  <c r="AI32" i="11"/>
  <c r="AK32" i="11"/>
  <c r="AL32" i="11"/>
  <c r="AH33" i="11"/>
  <c r="AI33" i="11"/>
  <c r="AK33" i="11"/>
  <c r="AL33" i="11"/>
  <c r="AH34" i="11"/>
  <c r="AI34" i="11"/>
  <c r="AK34" i="11"/>
  <c r="AL34" i="11"/>
  <c r="AH35" i="11"/>
  <c r="AI35" i="11"/>
  <c r="AK35" i="11"/>
  <c r="AL35" i="11"/>
  <c r="AH36" i="11"/>
  <c r="AI36" i="11"/>
  <c r="AK36" i="11"/>
  <c r="AL36" i="11"/>
  <c r="AH37" i="11"/>
  <c r="AI37" i="11"/>
  <c r="AK37" i="11"/>
  <c r="AL37" i="11"/>
  <c r="AH38" i="11"/>
  <c r="AI38" i="11"/>
  <c r="AK38" i="11"/>
  <c r="AL38" i="11"/>
  <c r="AH39" i="11"/>
  <c r="AI39" i="11"/>
  <c r="AK39" i="11"/>
  <c r="AL39" i="11"/>
  <c r="AH40" i="11"/>
  <c r="AI40" i="11"/>
  <c r="AK40" i="11"/>
  <c r="AL40" i="11"/>
  <c r="AH41" i="11"/>
  <c r="AI41" i="11"/>
  <c r="AK41" i="11"/>
  <c r="AL41" i="11"/>
  <c r="AH42" i="11"/>
  <c r="AI42" i="11"/>
  <c r="AK42" i="11"/>
  <c r="AL42" i="11"/>
  <c r="AH43" i="11"/>
  <c r="AI43" i="11"/>
  <c r="AK43" i="11"/>
  <c r="AL43" i="11"/>
  <c r="AH44" i="11"/>
  <c r="AI44" i="11"/>
  <c r="AK44" i="11"/>
  <c r="AL44" i="11"/>
  <c r="AB6" i="11"/>
  <c r="AB7" i="11"/>
  <c r="AB8" i="11"/>
  <c r="AB9" i="11"/>
  <c r="AB10" i="11"/>
  <c r="AB11" i="11"/>
  <c r="AX9" i="11"/>
  <c r="AX8" i="11"/>
  <c r="AJ17" i="11"/>
  <c r="AJ18" i="11"/>
  <c r="AJ19" i="11"/>
  <c r="AX7" i="11"/>
  <c r="AJ23" i="11"/>
  <c r="AJ24" i="11"/>
  <c r="AJ25" i="11"/>
  <c r="AX6" i="11"/>
  <c r="AJ29" i="11"/>
  <c r="AX14" i="11"/>
  <c r="AJ30" i="11"/>
  <c r="AJ31" i="11"/>
  <c r="AJ32" i="11"/>
  <c r="AJ33" i="11"/>
  <c r="AJ35" i="11"/>
  <c r="AJ36" i="11"/>
  <c r="AJ37" i="11"/>
  <c r="AX5" i="11"/>
  <c r="AJ39" i="11"/>
  <c r="AJ41" i="11"/>
  <c r="AX10" i="11"/>
  <c r="AJ42" i="11"/>
  <c r="AJ43" i="11"/>
  <c r="AJ44" i="11"/>
  <c r="P1" i="11"/>
  <c r="Q1" i="11"/>
  <c r="R1" i="11"/>
  <c r="S1" i="11"/>
  <c r="T1" i="11"/>
  <c r="U1" i="11"/>
  <c r="AO2" i="11"/>
  <c r="AZ2" i="11" s="1"/>
  <c r="AP2" i="11"/>
  <c r="BA2" i="11" s="1"/>
  <c r="AQ2" i="11"/>
  <c r="BB2" i="11" s="1"/>
  <c r="AR2" i="11"/>
  <c r="BC2" i="11" s="1"/>
  <c r="AS2" i="11"/>
  <c r="BD2" i="11" s="1"/>
  <c r="AT2" i="11"/>
  <c r="BE2" i="11" s="1"/>
  <c r="AO3" i="11"/>
  <c r="AZ3" i="11" s="1"/>
  <c r="AP3" i="11"/>
  <c r="BA3" i="11" s="1"/>
  <c r="AQ3" i="11"/>
  <c r="BB3" i="11" s="1"/>
  <c r="AR3" i="11"/>
  <c r="BC3" i="11" s="1"/>
  <c r="AT3" i="11"/>
  <c r="BE3" i="11" s="1"/>
  <c r="AO4" i="11"/>
  <c r="AZ4" i="11" s="1"/>
  <c r="AP4" i="11"/>
  <c r="BA4" i="11" s="1"/>
  <c r="AQ4" i="11"/>
  <c r="BB4" i="11" s="1"/>
  <c r="AR4" i="11"/>
  <c r="BC4" i="11" s="1"/>
  <c r="AS4" i="11"/>
  <c r="BD4" i="11" s="1"/>
  <c r="AT4" i="11"/>
  <c r="BE4" i="11" s="1"/>
  <c r="O4" i="10"/>
  <c r="P4" i="10" s="1"/>
  <c r="O5" i="10"/>
  <c r="O6" i="10"/>
  <c r="O7" i="10"/>
  <c r="P7" i="10" s="1"/>
  <c r="O8" i="10"/>
  <c r="P8" i="10" s="1"/>
  <c r="O9" i="10"/>
  <c r="K3" i="10"/>
  <c r="M3" i="10"/>
  <c r="K5" i="10"/>
  <c r="M5" i="10"/>
  <c r="L6" i="10"/>
  <c r="M7" i="10"/>
  <c r="L8" i="10"/>
  <c r="K9" i="10"/>
  <c r="L9" i="10"/>
  <c r="L10" i="10"/>
  <c r="K11" i="10"/>
  <c r="M11" i="10"/>
  <c r="K12" i="10"/>
  <c r="A4" i="10"/>
  <c r="B4" i="10"/>
  <c r="C4" i="10"/>
  <c r="D4" i="10"/>
  <c r="A5" i="10"/>
  <c r="B5" i="10"/>
  <c r="C5" i="10"/>
  <c r="D5" i="10"/>
  <c r="A6" i="10"/>
  <c r="B6" i="10"/>
  <c r="C6" i="10"/>
  <c r="D6" i="10"/>
  <c r="A7" i="10"/>
  <c r="B7" i="10"/>
  <c r="C7" i="10"/>
  <c r="D7" i="10"/>
  <c r="A8" i="10"/>
  <c r="B8" i="10"/>
  <c r="C8" i="10"/>
  <c r="D8" i="10"/>
  <c r="A9" i="10"/>
  <c r="B9" i="10"/>
  <c r="C9" i="10"/>
  <c r="D9" i="10"/>
  <c r="E9" i="10" s="1"/>
  <c r="A10" i="10"/>
  <c r="B10" i="10"/>
  <c r="C10" i="10"/>
  <c r="D10" i="10"/>
  <c r="A11" i="10"/>
  <c r="B11" i="10"/>
  <c r="C11" i="10"/>
  <c r="D11" i="10"/>
  <c r="A12" i="10"/>
  <c r="B12" i="10"/>
  <c r="C12" i="10"/>
  <c r="D12" i="10"/>
  <c r="A8" i="9"/>
  <c r="B8" i="9" s="1"/>
  <c r="E8" i="9"/>
  <c r="F8" i="9"/>
  <c r="D8" i="9" s="1"/>
  <c r="I8" i="9"/>
  <c r="A9" i="9"/>
  <c r="B9" i="9" s="1"/>
  <c r="E9" i="9"/>
  <c r="F9" i="9"/>
  <c r="D9" i="9" s="1"/>
  <c r="I9" i="9"/>
  <c r="A10" i="9"/>
  <c r="B10" i="9" s="1"/>
  <c r="E10" i="9"/>
  <c r="F10" i="9"/>
  <c r="G10" i="9" s="1"/>
  <c r="H10" i="9" s="1"/>
  <c r="C10" i="9" s="1"/>
  <c r="I10" i="9"/>
  <c r="A11" i="9"/>
  <c r="B11" i="9"/>
  <c r="D11" i="9"/>
  <c r="E11" i="9"/>
  <c r="F11" i="9"/>
  <c r="G11" i="9" s="1"/>
  <c r="H11" i="9" s="1"/>
  <c r="C11" i="9" s="1"/>
  <c r="I11" i="9"/>
  <c r="A12" i="9"/>
  <c r="B12" i="9" s="1"/>
  <c r="E12" i="9"/>
  <c r="F12" i="9"/>
  <c r="G12" i="9" s="1"/>
  <c r="H12" i="9" s="1"/>
  <c r="C12" i="9" s="1"/>
  <c r="I12" i="9"/>
  <c r="A13" i="9"/>
  <c r="B13" i="9"/>
  <c r="E13" i="9"/>
  <c r="F13" i="9"/>
  <c r="G13" i="9" s="1"/>
  <c r="H13" i="9" s="1"/>
  <c r="C13" i="9" s="1"/>
  <c r="I13" i="9"/>
  <c r="A14" i="9"/>
  <c r="B14" i="9" s="1"/>
  <c r="E14" i="9"/>
  <c r="F14" i="9"/>
  <c r="D14" i="9" s="1"/>
  <c r="G14" i="9"/>
  <c r="H14" i="9" s="1"/>
  <c r="C14" i="9" s="1"/>
  <c r="I14" i="9"/>
  <c r="A15" i="9"/>
  <c r="B15" i="9" s="1"/>
  <c r="E15" i="9"/>
  <c r="F15" i="9"/>
  <c r="D15" i="9" s="1"/>
  <c r="I15" i="9"/>
  <c r="A16" i="9"/>
  <c r="B16" i="9" s="1"/>
  <c r="E16" i="9"/>
  <c r="F16" i="9"/>
  <c r="D16" i="9" s="1"/>
  <c r="I16" i="9"/>
  <c r="T2" i="9"/>
  <c r="U2" i="9"/>
  <c r="V2" i="9"/>
  <c r="W2" i="9"/>
  <c r="X2" i="9"/>
  <c r="Y2" i="9"/>
  <c r="B5" i="8"/>
  <c r="C5" i="8"/>
  <c r="B6" i="8"/>
  <c r="C6" i="8"/>
  <c r="B7" i="8"/>
  <c r="C7" i="8"/>
  <c r="B8" i="8"/>
  <c r="C8" i="8"/>
  <c r="B9" i="8"/>
  <c r="C9" i="8"/>
  <c r="B10" i="8"/>
  <c r="C10" i="8"/>
  <c r="B11" i="8"/>
  <c r="C11" i="8"/>
  <c r="B12" i="8"/>
  <c r="C12" i="8"/>
  <c r="B13" i="8"/>
  <c r="C13" i="8"/>
  <c r="E2" i="8"/>
  <c r="F2" i="8"/>
  <c r="G2" i="8"/>
  <c r="H2" i="8"/>
  <c r="I2" i="8"/>
  <c r="J2" i="8"/>
  <c r="E3" i="8"/>
  <c r="F3" i="8"/>
  <c r="G3" i="8"/>
  <c r="H3" i="8"/>
  <c r="I3" i="8"/>
  <c r="J3" i="8"/>
  <c r="A5" i="7"/>
  <c r="I5" i="7" s="1"/>
  <c r="B5" i="7"/>
  <c r="G5" i="7"/>
  <c r="J5" i="7"/>
  <c r="N5" i="7" s="1"/>
  <c r="K5" i="7"/>
  <c r="L5" i="7"/>
  <c r="M5" i="7"/>
  <c r="A6" i="7"/>
  <c r="I6" i="7" s="1"/>
  <c r="B6" i="7"/>
  <c r="G6" i="7"/>
  <c r="J6" i="7"/>
  <c r="N6" i="7" s="1"/>
  <c r="K6" i="7"/>
  <c r="L6" i="7"/>
  <c r="M6" i="7"/>
  <c r="A7" i="7"/>
  <c r="I7" i="7" s="1"/>
  <c r="B7" i="7"/>
  <c r="G7" i="7"/>
  <c r="J7" i="7"/>
  <c r="K7" i="7"/>
  <c r="N7" i="7" s="1"/>
  <c r="L7" i="7"/>
  <c r="M7" i="7"/>
  <c r="A8" i="7"/>
  <c r="I8" i="7" s="1"/>
  <c r="B8" i="7"/>
  <c r="G8" i="7"/>
  <c r="J8" i="7"/>
  <c r="N8" i="7" s="1"/>
  <c r="K8" i="7"/>
  <c r="L8" i="7"/>
  <c r="M8" i="7"/>
  <c r="A9" i="7"/>
  <c r="B9" i="7"/>
  <c r="G9" i="7"/>
  <c r="I9" i="7"/>
  <c r="J9" i="7"/>
  <c r="K9" i="7"/>
  <c r="L9" i="7"/>
  <c r="N9" i="7" s="1"/>
  <c r="M9" i="7"/>
  <c r="A10" i="7"/>
  <c r="I10" i="7" s="1"/>
  <c r="B10" i="7"/>
  <c r="G10" i="7"/>
  <c r="J10" i="7"/>
  <c r="K10" i="7"/>
  <c r="N10" i="7" s="1"/>
  <c r="L10" i="7"/>
  <c r="M10" i="7"/>
  <c r="G4" i="7"/>
  <c r="K4" i="7"/>
  <c r="K3" i="7" s="1"/>
  <c r="L4" i="7"/>
  <c r="M4" i="7"/>
  <c r="D2" i="7"/>
  <c r="K2" i="7" s="1"/>
  <c r="E2" i="7"/>
  <c r="L2" i="7" s="1"/>
  <c r="F2" i="7"/>
  <c r="M2" i="7" s="1"/>
  <c r="D3" i="7"/>
  <c r="E3" i="7"/>
  <c r="F3" i="7"/>
  <c r="B5" i="6"/>
  <c r="G5" i="6"/>
  <c r="I5" i="6"/>
  <c r="J5" i="6"/>
  <c r="K5" i="6"/>
  <c r="L5" i="6"/>
  <c r="M5" i="6"/>
  <c r="N5" i="6"/>
  <c r="B6" i="6"/>
  <c r="G6" i="6"/>
  <c r="I6" i="6"/>
  <c r="J6" i="6"/>
  <c r="K6" i="6"/>
  <c r="L6" i="6"/>
  <c r="M6" i="6"/>
  <c r="N6" i="6"/>
  <c r="B7" i="6"/>
  <c r="G7" i="6"/>
  <c r="I7" i="6"/>
  <c r="J7" i="6"/>
  <c r="K7" i="6"/>
  <c r="L7" i="6"/>
  <c r="M7" i="6"/>
  <c r="N7" i="6"/>
  <c r="B8" i="6"/>
  <c r="G8" i="6"/>
  <c r="I8" i="6"/>
  <c r="J8" i="6"/>
  <c r="K8" i="6"/>
  <c r="L8" i="6"/>
  <c r="M8" i="6"/>
  <c r="N8" i="6"/>
  <c r="B9" i="6"/>
  <c r="G9" i="6"/>
  <c r="I9" i="6"/>
  <c r="J9" i="6"/>
  <c r="K9" i="6"/>
  <c r="L9" i="6"/>
  <c r="M9" i="6"/>
  <c r="N9" i="6"/>
  <c r="B10" i="6"/>
  <c r="G10" i="6"/>
  <c r="I10" i="6"/>
  <c r="J10" i="6"/>
  <c r="K10" i="6"/>
  <c r="L10" i="6"/>
  <c r="M10" i="6"/>
  <c r="N10" i="6"/>
  <c r="B11" i="6"/>
  <c r="G11" i="6"/>
  <c r="I11" i="6"/>
  <c r="J11" i="6"/>
  <c r="K11" i="6"/>
  <c r="L11" i="6"/>
  <c r="M11" i="6"/>
  <c r="N11" i="6"/>
  <c r="B12" i="6"/>
  <c r="G12" i="6"/>
  <c r="I12" i="6"/>
  <c r="J12" i="6"/>
  <c r="K12" i="6"/>
  <c r="L12" i="6"/>
  <c r="M12" i="6"/>
  <c r="N12" i="6" s="1"/>
  <c r="B13" i="6"/>
  <c r="G13" i="6"/>
  <c r="I13" i="6"/>
  <c r="J13" i="6"/>
  <c r="K13" i="6"/>
  <c r="L13" i="6"/>
  <c r="L3" i="6" s="1"/>
  <c r="M13" i="6"/>
  <c r="N13" i="6"/>
  <c r="K1" i="6"/>
  <c r="L1" i="6"/>
  <c r="M1" i="6"/>
  <c r="K4" i="6"/>
  <c r="K3" i="6" s="1"/>
  <c r="L4" i="6"/>
  <c r="M4" i="6"/>
  <c r="G4" i="6"/>
  <c r="D2" i="6"/>
  <c r="K2" i="6" s="1"/>
  <c r="E2" i="6"/>
  <c r="L2" i="6" s="1"/>
  <c r="F2" i="6"/>
  <c r="M2" i="6" s="1"/>
  <c r="D14" i="6"/>
  <c r="E14" i="6"/>
  <c r="F14" i="6"/>
  <c r="G9" i="2"/>
  <c r="H9" i="2"/>
  <c r="I9" i="2"/>
  <c r="J9" i="2"/>
  <c r="K9" i="2"/>
  <c r="L9" i="2"/>
  <c r="M9" i="2"/>
  <c r="N9" i="2"/>
  <c r="G10" i="2"/>
  <c r="H10" i="2"/>
  <c r="I10" i="2"/>
  <c r="J10" i="2"/>
  <c r="K10" i="2"/>
  <c r="L10" i="2"/>
  <c r="M10" i="2"/>
  <c r="N10" i="2"/>
  <c r="G11" i="2"/>
  <c r="H11" i="2"/>
  <c r="I11" i="2"/>
  <c r="J11" i="2"/>
  <c r="K11" i="2"/>
  <c r="L11" i="2"/>
  <c r="M11" i="2"/>
  <c r="N11" i="2"/>
  <c r="G12" i="2"/>
  <c r="H12" i="2"/>
  <c r="I12" i="2"/>
  <c r="J12" i="2"/>
  <c r="K12" i="2"/>
  <c r="L12" i="2"/>
  <c r="M12" i="2"/>
  <c r="N12" i="2"/>
  <c r="G13" i="2"/>
  <c r="H13" i="2"/>
  <c r="I13" i="2"/>
  <c r="J13" i="2"/>
  <c r="K13" i="2"/>
  <c r="L13" i="2"/>
  <c r="M13" i="2"/>
  <c r="N13" i="2"/>
  <c r="F4" i="5"/>
  <c r="G4" i="5"/>
  <c r="H4" i="5"/>
  <c r="I4" i="5"/>
  <c r="J4" i="5"/>
  <c r="F5" i="5"/>
  <c r="G5" i="5"/>
  <c r="H5" i="5"/>
  <c r="I5" i="5"/>
  <c r="J5" i="5"/>
  <c r="F6" i="5"/>
  <c r="G6" i="5"/>
  <c r="H6" i="5"/>
  <c r="I6" i="5"/>
  <c r="J6" i="5"/>
  <c r="F7" i="5"/>
  <c r="G7" i="5"/>
  <c r="H7" i="5"/>
  <c r="I7" i="5"/>
  <c r="J7" i="5"/>
  <c r="D7" i="20"/>
  <c r="B3" i="20"/>
  <c r="B1" i="20"/>
  <c r="K13" i="19"/>
  <c r="K12" i="19"/>
  <c r="S1" i="19" s="1"/>
  <c r="L10" i="19"/>
  <c r="S10" i="19" s="1"/>
  <c r="K10" i="19"/>
  <c r="L9" i="19"/>
  <c r="K9" i="19"/>
  <c r="D5" i="19"/>
  <c r="D6" i="19" s="1"/>
  <c r="D13" i="18"/>
  <c r="B13" i="18"/>
  <c r="D12" i="18"/>
  <c r="J8" i="18"/>
  <c r="B5" i="18"/>
  <c r="B2" i="18"/>
  <c r="B1" i="18"/>
  <c r="B6" i="17"/>
  <c r="A4" i="17"/>
  <c r="A1" i="17"/>
  <c r="B2" i="16"/>
  <c r="H2" i="15"/>
  <c r="F2" i="15"/>
  <c r="E2" i="15"/>
  <c r="D2" i="15"/>
  <c r="C2" i="15"/>
  <c r="B2" i="15"/>
  <c r="E1" i="15"/>
  <c r="D1" i="15"/>
  <c r="C1" i="15"/>
  <c r="B1" i="15"/>
  <c r="A3" i="14"/>
  <c r="A1" i="14"/>
  <c r="A1" i="13"/>
  <c r="J12" i="12"/>
  <c r="AL5" i="11"/>
  <c r="AK5" i="11"/>
  <c r="AI5" i="11"/>
  <c r="AH5" i="11"/>
  <c r="AB5" i="11"/>
  <c r="AJ5" i="11"/>
  <c r="AM4" i="11"/>
  <c r="AN4" i="11"/>
  <c r="AM3" i="11"/>
  <c r="AM2" i="11"/>
  <c r="AJ2" i="11"/>
  <c r="AI2" i="11"/>
  <c r="AN2" i="11"/>
  <c r="AY2" i="11" s="1"/>
  <c r="AR1" i="11"/>
  <c r="O1" i="11"/>
  <c r="W3" i="10"/>
  <c r="O3" i="10"/>
  <c r="S4" i="10"/>
  <c r="T4" i="10" s="1"/>
  <c r="D3" i="10"/>
  <c r="C3" i="10"/>
  <c r="B3" i="10"/>
  <c r="A3" i="10"/>
  <c r="C2" i="10"/>
  <c r="B2" i="10"/>
  <c r="A2" i="10"/>
  <c r="I7" i="9"/>
  <c r="E7" i="9"/>
  <c r="A7" i="9"/>
  <c r="B7" i="9" s="1"/>
  <c r="S2" i="9"/>
  <c r="G2" i="9"/>
  <c r="F2" i="9"/>
  <c r="V3" i="9" s="1"/>
  <c r="C4" i="8"/>
  <c r="B4" i="8"/>
  <c r="D3" i="8"/>
  <c r="D2" i="8"/>
  <c r="J4" i="7"/>
  <c r="B4" i="7"/>
  <c r="A4" i="7"/>
  <c r="I4" i="7" s="1"/>
  <c r="C2" i="7"/>
  <c r="J2" i="7" s="1"/>
  <c r="C14" i="6"/>
  <c r="C3" i="7" s="1"/>
  <c r="J4" i="6"/>
  <c r="I4" i="6"/>
  <c r="B4" i="6"/>
  <c r="I2" i="6"/>
  <c r="C2" i="6"/>
  <c r="J2" i="6" s="1"/>
  <c r="J1" i="6"/>
  <c r="I2" i="5"/>
  <c r="G2" i="5"/>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G1" i="4"/>
  <c r="B1" i="3"/>
  <c r="L1" i="3" s="1"/>
  <c r="E11" i="2"/>
  <c r="E10" i="2"/>
  <c r="E9" i="2"/>
  <c r="E8" i="2"/>
  <c r="E7" i="2"/>
  <c r="E6" i="2"/>
  <c r="E5" i="2"/>
  <c r="E4" i="2"/>
  <c r="H3" i="2"/>
  <c r="E3" i="2"/>
  <c r="H2" i="2"/>
  <c r="H1" i="2"/>
  <c r="C2" i="1" s="1"/>
  <c r="K16" i="1"/>
  <c r="M15" i="1"/>
  <c r="C5" i="1"/>
  <c r="C4" i="1"/>
  <c r="C3" i="1"/>
  <c r="W4" i="10" s="1"/>
  <c r="X13" i="12" l="1"/>
  <c r="K7" i="12"/>
  <c r="T7" i="12"/>
  <c r="U13" i="12"/>
  <c r="V13" i="12" s="1"/>
  <c r="X7" i="12"/>
  <c r="U9" i="12"/>
  <c r="W7" i="12"/>
  <c r="U7" i="12"/>
  <c r="V7" i="12" s="1"/>
  <c r="R10" i="12"/>
  <c r="J11" i="12"/>
  <c r="X6" i="12"/>
  <c r="M10" i="12"/>
  <c r="R5" i="12"/>
  <c r="S13" i="12"/>
  <c r="T9" i="12"/>
  <c r="H9" i="12"/>
  <c r="I8" i="12"/>
  <c r="K8" i="12" s="1"/>
  <c r="J4" i="12"/>
  <c r="I11" i="12"/>
  <c r="W6" i="12"/>
  <c r="L10" i="12"/>
  <c r="M5" i="12"/>
  <c r="S9" i="12"/>
  <c r="H8" i="12"/>
  <c r="H2" i="12" s="1"/>
  <c r="I4" i="12"/>
  <c r="L5" i="12"/>
  <c r="H4" i="12"/>
  <c r="U6" i="12"/>
  <c r="J10" i="12"/>
  <c r="K10" i="12" s="1"/>
  <c r="R8" i="12"/>
  <c r="R11" i="12"/>
  <c r="T6" i="12"/>
  <c r="I10" i="12"/>
  <c r="J5" i="12"/>
  <c r="K5" i="12" s="1"/>
  <c r="W13" i="12"/>
  <c r="K13" i="12"/>
  <c r="X9" i="12"/>
  <c r="L9" i="12"/>
  <c r="L2" i="12" s="1"/>
  <c r="M8" i="12"/>
  <c r="R4" i="12"/>
  <c r="H12" i="12"/>
  <c r="L12" i="12"/>
  <c r="AJ38" i="11"/>
  <c r="AJ34" i="11"/>
  <c r="AJ26" i="11"/>
  <c r="AJ22" i="11"/>
  <c r="AJ14" i="11"/>
  <c r="AJ10" i="11"/>
  <c r="AJ6" i="11"/>
  <c r="AX12" i="11"/>
  <c r="AX11" i="11"/>
  <c r="AJ21" i="11"/>
  <c r="AJ13" i="11"/>
  <c r="AJ9" i="11"/>
  <c r="AX13" i="11"/>
  <c r="AJ40" i="11"/>
  <c r="AJ28" i="11"/>
  <c r="AJ20" i="11"/>
  <c r="AJ16" i="11"/>
  <c r="AJ12" i="11"/>
  <c r="AJ8" i="11"/>
  <c r="AJ27" i="11"/>
  <c r="AJ15" i="11"/>
  <c r="AJ11" i="11"/>
  <c r="AJ7" i="11"/>
  <c r="D13" i="9"/>
  <c r="E3" i="10"/>
  <c r="Q8" i="10"/>
  <c r="R8" i="10" s="1"/>
  <c r="E11" i="10"/>
  <c r="W7" i="10"/>
  <c r="S7" i="10"/>
  <c r="T7" i="10" s="1"/>
  <c r="Q7" i="10"/>
  <c r="R7" i="10" s="1"/>
  <c r="E12" i="10"/>
  <c r="E4" i="10"/>
  <c r="S6" i="10"/>
  <c r="T6" i="10" s="1"/>
  <c r="Q9" i="10"/>
  <c r="R9" i="10" s="1"/>
  <c r="Q5" i="10"/>
  <c r="R5" i="10" s="1"/>
  <c r="E5" i="10"/>
  <c r="S8" i="10"/>
  <c r="T8" i="10" s="1"/>
  <c r="G16" i="9"/>
  <c r="H16" i="9" s="1"/>
  <c r="C16" i="9" s="1"/>
  <c r="D12" i="9"/>
  <c r="D42" i="18"/>
  <c r="B43" i="18"/>
  <c r="D37" i="18"/>
  <c r="B38" i="18"/>
  <c r="D32" i="18"/>
  <c r="B33" i="18"/>
  <c r="D27" i="18"/>
  <c r="B28" i="18"/>
  <c r="D23" i="18"/>
  <c r="B23" i="18"/>
  <c r="J6" i="19"/>
  <c r="K11" i="19"/>
  <c r="I6" i="19"/>
  <c r="AS3" i="11"/>
  <c r="BD3" i="11" s="1"/>
  <c r="T5" i="11"/>
  <c r="V1" i="11"/>
  <c r="M6" i="10"/>
  <c r="K4" i="10"/>
  <c r="P9" i="10"/>
  <c r="P5" i="10"/>
  <c r="Q6" i="10"/>
  <c r="R6" i="10" s="1"/>
  <c r="L11" i="10"/>
  <c r="M8" i="10"/>
  <c r="K6" i="10"/>
  <c r="L3" i="10"/>
  <c r="P6" i="10"/>
  <c r="M10" i="10"/>
  <c r="K8" i="10"/>
  <c r="L5" i="10"/>
  <c r="S9" i="10"/>
  <c r="T9" i="10" s="1"/>
  <c r="S5" i="10"/>
  <c r="T5" i="10" s="1"/>
  <c r="Q4" i="10"/>
  <c r="R4" i="10" s="1"/>
  <c r="M12" i="10"/>
  <c r="K10" i="10"/>
  <c r="L7" i="10"/>
  <c r="M4" i="10"/>
  <c r="L12" i="10"/>
  <c r="M9" i="10"/>
  <c r="K7" i="10"/>
  <c r="L4" i="10"/>
  <c r="J7" i="10"/>
  <c r="J10" i="10"/>
  <c r="E7" i="10"/>
  <c r="J3" i="10"/>
  <c r="E10" i="10"/>
  <c r="J5" i="10"/>
  <c r="J8" i="10"/>
  <c r="J11" i="10"/>
  <c r="E8" i="10"/>
  <c r="J6" i="10"/>
  <c r="J9" i="10"/>
  <c r="E6" i="10"/>
  <c r="J12" i="10"/>
  <c r="J4" i="10"/>
  <c r="G9" i="9"/>
  <c r="H9" i="9" s="1"/>
  <c r="C9" i="9" s="1"/>
  <c r="G8" i="9"/>
  <c r="H8" i="9" s="1"/>
  <c r="C8" i="9" s="1"/>
  <c r="G15" i="9"/>
  <c r="H15" i="9" s="1"/>
  <c r="C15" i="9" s="1"/>
  <c r="D10" i="9"/>
  <c r="V4" i="9"/>
  <c r="V5" i="9" s="1"/>
  <c r="U3" i="9"/>
  <c r="U4" i="9" s="1"/>
  <c r="U5" i="9" s="1"/>
  <c r="T3" i="9"/>
  <c r="T4" i="9" s="1"/>
  <c r="T5" i="9" s="1"/>
  <c r="Y3" i="9"/>
  <c r="Y4" i="9" s="1"/>
  <c r="Y5" i="9" s="1"/>
  <c r="X3" i="9"/>
  <c r="W3" i="9"/>
  <c r="W4" i="9" s="1"/>
  <c r="W5" i="9" s="1"/>
  <c r="E3" i="9"/>
  <c r="S3" i="10"/>
  <c r="T3" i="10" s="1"/>
  <c r="M3" i="7"/>
  <c r="L3" i="7"/>
  <c r="N4" i="7"/>
  <c r="J3" i="7"/>
  <c r="N3" i="7" s="1"/>
  <c r="M3" i="6"/>
  <c r="J3" i="6"/>
  <c r="S9" i="19"/>
  <c r="S11" i="19" s="1"/>
  <c r="L6" i="19"/>
  <c r="X4" i="10"/>
  <c r="AU4" i="11"/>
  <c r="AY4" i="11"/>
  <c r="K13" i="1"/>
  <c r="K17" i="1" s="1"/>
  <c r="M12" i="12"/>
  <c r="F7" i="9"/>
  <c r="G7" i="9" s="1"/>
  <c r="W2" i="10"/>
  <c r="R12" i="12"/>
  <c r="P3" i="10"/>
  <c r="V3" i="11"/>
  <c r="G2" i="12"/>
  <c r="D7" i="19"/>
  <c r="N4" i="6"/>
  <c r="Q3" i="10"/>
  <c r="R3" i="10" s="1"/>
  <c r="L5" i="19"/>
  <c r="AN3" i="11"/>
  <c r="I12" i="12"/>
  <c r="K12" i="12" s="1"/>
  <c r="S3" i="9"/>
  <c r="K4" i="12" l="1"/>
  <c r="J2" i="12"/>
  <c r="K11" i="12"/>
  <c r="K2" i="12" s="1"/>
  <c r="V6" i="12"/>
  <c r="V9" i="12"/>
  <c r="U5" i="12"/>
  <c r="W5" i="12"/>
  <c r="X5" i="12"/>
  <c r="S5" i="12"/>
  <c r="T5" i="12"/>
  <c r="S4" i="12"/>
  <c r="T4" i="12"/>
  <c r="U4" i="12"/>
  <c r="W4" i="12"/>
  <c r="X4" i="12"/>
  <c r="S11" i="12"/>
  <c r="T11" i="12"/>
  <c r="U11" i="12"/>
  <c r="W11" i="12"/>
  <c r="X11" i="12"/>
  <c r="X8" i="12"/>
  <c r="S8" i="12"/>
  <c r="T8" i="12"/>
  <c r="U8" i="12"/>
  <c r="W8" i="12"/>
  <c r="T10" i="12"/>
  <c r="U10" i="12"/>
  <c r="W10" i="12"/>
  <c r="X10" i="12"/>
  <c r="S10" i="12"/>
  <c r="P6" i="11"/>
  <c r="S6" i="11"/>
  <c r="O17" i="11"/>
  <c r="U5" i="11"/>
  <c r="Q6" i="11"/>
  <c r="U6" i="11"/>
  <c r="T6" i="11"/>
  <c r="S7" i="11"/>
  <c r="O40" i="11"/>
  <c r="P5" i="11"/>
  <c r="R5" i="11"/>
  <c r="Q5" i="11"/>
  <c r="S5" i="11"/>
  <c r="X4" i="9"/>
  <c r="X5" i="9" s="1"/>
  <c r="K6" i="19"/>
  <c r="H7" i="9"/>
  <c r="S4" i="9"/>
  <c r="S5" i="9" s="1"/>
  <c r="L7" i="19"/>
  <c r="K7" i="19"/>
  <c r="K15" i="19" s="1"/>
  <c r="K14" i="19" s="1"/>
  <c r="I2" i="12"/>
  <c r="X12" i="12"/>
  <c r="W12" i="12"/>
  <c r="U12" i="12"/>
  <c r="T12" i="12"/>
  <c r="V12" i="12" s="1"/>
  <c r="S12" i="12"/>
  <c r="R2" i="12"/>
  <c r="AY3" i="11"/>
  <c r="AU3" i="11"/>
  <c r="W6" i="10"/>
  <c r="W5" i="10"/>
  <c r="X5" i="10" s="1"/>
  <c r="D7" i="9"/>
  <c r="F3" i="9"/>
  <c r="K19" i="1"/>
  <c r="M2" i="12"/>
  <c r="V8" i="12" l="1"/>
  <c r="V4" i="12"/>
  <c r="V5" i="12"/>
  <c r="V11" i="12"/>
  <c r="V10" i="12"/>
  <c r="S2" i="12"/>
  <c r="X2" i="12"/>
  <c r="T2" i="12"/>
  <c r="O29" i="11"/>
  <c r="P7" i="11"/>
  <c r="T7" i="11"/>
  <c r="U8" i="11"/>
  <c r="Q7" i="11"/>
  <c r="R6" i="11"/>
  <c r="U7" i="11"/>
  <c r="S8" i="11"/>
  <c r="U2" i="12"/>
  <c r="W2" i="12"/>
  <c r="C7" i="9"/>
  <c r="H3" i="9"/>
  <c r="G3" i="9"/>
  <c r="V2" i="12" l="1"/>
  <c r="T8" i="11"/>
  <c r="T9" i="11"/>
  <c r="R8" i="11"/>
  <c r="P9" i="11"/>
  <c r="R7" i="11"/>
  <c r="Q9" i="11"/>
  <c r="P8" i="11"/>
  <c r="U9" i="11"/>
  <c r="O23" i="11"/>
  <c r="Q8" i="11"/>
  <c r="T10" i="11"/>
  <c r="S10" i="11"/>
  <c r="S9" i="11"/>
  <c r="O30" i="11" l="1"/>
  <c r="U11" i="11"/>
  <c r="O35" i="11"/>
  <c r="R9" i="11"/>
  <c r="Q11" i="11"/>
  <c r="Q10" i="11"/>
  <c r="U10" i="11"/>
  <c r="P10" i="11"/>
  <c r="S11" i="11"/>
  <c r="T11" i="11" l="1"/>
  <c r="P11" i="11"/>
  <c r="U12" i="11"/>
  <c r="R11" i="11"/>
  <c r="Q12" i="11"/>
  <c r="R10" i="11"/>
  <c r="O41" i="11"/>
  <c r="P12" i="11"/>
  <c r="O18" i="11" l="1"/>
  <c r="S12" i="11"/>
  <c r="T12" i="11"/>
  <c r="P13" i="11"/>
  <c r="Q14" i="11"/>
  <c r="Q13" i="11"/>
  <c r="R13" i="11"/>
  <c r="U13" i="11"/>
  <c r="R12" i="11"/>
  <c r="P15" i="11" l="1"/>
  <c r="O5" i="11"/>
  <c r="V5" i="11" s="1"/>
  <c r="X5" i="11" s="1"/>
  <c r="Y5" i="11" s="1"/>
  <c r="T13" i="11"/>
  <c r="S13" i="11"/>
  <c r="P14" i="11"/>
  <c r="P16" i="11"/>
  <c r="R14" i="11"/>
  <c r="Q15" i="11"/>
  <c r="R15" i="11"/>
  <c r="U14" i="11"/>
  <c r="T14" i="11" l="1"/>
  <c r="O11" i="11"/>
  <c r="V11" i="11" s="1"/>
  <c r="X11" i="11" s="1"/>
  <c r="Y11" i="11" s="1"/>
  <c r="S14" i="11"/>
  <c r="O42" i="11"/>
  <c r="T15" i="11"/>
  <c r="R17" i="11"/>
  <c r="Q16" i="11"/>
  <c r="U15" i="11"/>
  <c r="R16" i="11"/>
  <c r="T17" i="11" l="1"/>
  <c r="P17" i="11"/>
  <c r="S16" i="11"/>
  <c r="T16" i="11"/>
  <c r="Q18" i="11"/>
  <c r="O31" i="11"/>
  <c r="S15" i="11"/>
  <c r="U16" i="11"/>
  <c r="Q17" i="11"/>
  <c r="U17" i="11"/>
  <c r="R18" i="11"/>
  <c r="T19" i="11" l="1"/>
  <c r="P19" i="11"/>
  <c r="O19" i="11"/>
  <c r="S17" i="11"/>
  <c r="P18" i="11"/>
  <c r="T18" i="11"/>
  <c r="R19" i="11"/>
  <c r="Q19" i="11"/>
  <c r="U18" i="11"/>
  <c r="V17" i="11" l="1"/>
  <c r="X17" i="11" s="1"/>
  <c r="Y17" i="11" s="1"/>
  <c r="T21" i="11"/>
  <c r="P21" i="11"/>
  <c r="S19" i="11"/>
  <c r="P20" i="11"/>
  <c r="S18" i="11"/>
  <c r="O6" i="11"/>
  <c r="V6" i="11" s="1"/>
  <c r="X6" i="11" s="1"/>
  <c r="Y6" i="11" s="1"/>
  <c r="T20" i="11"/>
  <c r="Q20" i="11"/>
  <c r="R20" i="11"/>
  <c r="P23" i="11"/>
  <c r="V18" i="11" l="1"/>
  <c r="X18" i="11" s="1"/>
  <c r="S21" i="11"/>
  <c r="O32" i="11"/>
  <c r="P22" i="11"/>
  <c r="T22" i="11"/>
  <c r="U19" i="11"/>
  <c r="S20" i="11"/>
  <c r="R22" i="11"/>
  <c r="Q21" i="11"/>
  <c r="R21" i="11"/>
  <c r="P25" i="11"/>
  <c r="P24" i="11"/>
  <c r="Y18" i="11" l="1"/>
  <c r="V19" i="11"/>
  <c r="X19" i="11" s="1"/>
  <c r="O36" i="11"/>
  <c r="S22" i="11"/>
  <c r="O12" i="11"/>
  <c r="V12" i="11" s="1"/>
  <c r="X12" i="11" s="1"/>
  <c r="T23" i="11"/>
  <c r="U20" i="11"/>
  <c r="Q23" i="11"/>
  <c r="R23" i="11"/>
  <c r="Q22" i="11"/>
  <c r="P26" i="11"/>
  <c r="Y12" i="11" l="1"/>
  <c r="Y19" i="11"/>
  <c r="T24" i="11"/>
  <c r="U21" i="11"/>
  <c r="S23" i="11"/>
  <c r="U22" i="11"/>
  <c r="O24" i="11"/>
  <c r="Q25" i="11"/>
  <c r="R25" i="11"/>
  <c r="R24" i="11"/>
  <c r="Q24" i="11"/>
  <c r="P28" i="11"/>
  <c r="P27" i="11"/>
  <c r="U23" i="11" l="1"/>
  <c r="T25" i="11"/>
  <c r="O7" i="11"/>
  <c r="S24" i="11"/>
  <c r="Q26" i="11"/>
  <c r="R26" i="11"/>
  <c r="U24" i="11"/>
  <c r="O43" i="11"/>
  <c r="P29" i="11"/>
  <c r="V23" i="11" l="1"/>
  <c r="X23" i="11" s="1"/>
  <c r="V7" i="11"/>
  <c r="X7" i="11" s="1"/>
  <c r="Y7" i="11" s="1"/>
  <c r="Y23" i="11"/>
  <c r="V24" i="11"/>
  <c r="X24" i="11" s="1"/>
  <c r="S26" i="11"/>
  <c r="T27" i="11"/>
  <c r="S25" i="11"/>
  <c r="O20" i="11"/>
  <c r="V20" i="11" s="1"/>
  <c r="X20" i="11" s="1"/>
  <c r="Y20" i="11" s="1"/>
  <c r="P30" i="11"/>
  <c r="U25" i="11"/>
  <c r="R27" i="11"/>
  <c r="P32" i="11"/>
  <c r="O25" i="11"/>
  <c r="T26" i="11"/>
  <c r="R28" i="11"/>
  <c r="Q27" i="11"/>
  <c r="P31" i="11"/>
  <c r="Y24" i="11" l="1"/>
  <c r="V25" i="11"/>
  <c r="X25" i="11" s="1"/>
  <c r="T28" i="11"/>
  <c r="U26" i="11"/>
  <c r="S27" i="11"/>
  <c r="R29" i="11"/>
  <c r="O44" i="11"/>
  <c r="P33" i="11"/>
  <c r="Q29" i="11"/>
  <c r="Q28" i="11"/>
  <c r="Y25" i="11" l="1"/>
  <c r="S29" i="11"/>
  <c r="R31" i="11"/>
  <c r="O8" i="11"/>
  <c r="V8" i="11" s="1"/>
  <c r="X8" i="11" s="1"/>
  <c r="S28" i="11"/>
  <c r="U27" i="11"/>
  <c r="T29" i="11"/>
  <c r="R30" i="11"/>
  <c r="Q30" i="11"/>
  <c r="P34" i="11"/>
  <c r="Y8" i="11" l="1"/>
  <c r="U29" i="11"/>
  <c r="T30" i="11"/>
  <c r="Q31" i="11"/>
  <c r="O33" i="11"/>
  <c r="P36" i="11"/>
  <c r="U28" i="11"/>
  <c r="T31" i="11"/>
  <c r="S30" i="11"/>
  <c r="P35" i="11"/>
  <c r="U30" i="11" l="1"/>
  <c r="O21" i="11"/>
  <c r="V21" i="11" s="1"/>
  <c r="X21" i="11" s="1"/>
  <c r="Y21" i="11" s="1"/>
  <c r="R32" i="11"/>
  <c r="S32" i="11"/>
  <c r="R33" i="11"/>
  <c r="S31" i="11"/>
  <c r="O37" i="11"/>
  <c r="V30" i="11" s="1"/>
  <c r="X30" i="11" s="1"/>
  <c r="V29" i="11"/>
  <c r="X29" i="11" s="1"/>
  <c r="T32" i="11"/>
  <c r="Q32" i="11"/>
  <c r="R34" i="11"/>
  <c r="P38" i="11"/>
  <c r="S34" i="11"/>
  <c r="P37" i="11"/>
  <c r="Y29" i="11" l="1"/>
  <c r="Y30" i="11"/>
  <c r="O26" i="11"/>
  <c r="V26" i="11" s="1"/>
  <c r="X26" i="11" s="1"/>
  <c r="Y26" i="11" s="1"/>
  <c r="S33" i="11"/>
  <c r="O13" i="11"/>
  <c r="V13" i="11" s="1"/>
  <c r="X13" i="11" s="1"/>
  <c r="Y13" i="11" s="1"/>
  <c r="T33" i="11"/>
  <c r="U31" i="11"/>
  <c r="V31" i="11" s="1"/>
  <c r="X31" i="11" s="1"/>
  <c r="Q34" i="11"/>
  <c r="Q33" i="11"/>
  <c r="P40" i="11"/>
  <c r="S35" i="11"/>
  <c r="P39" i="11"/>
  <c r="Y31" i="11" l="1"/>
  <c r="T35" i="11"/>
  <c r="U33" i="11"/>
  <c r="V33" i="11" s="1"/>
  <c r="T34" i="11"/>
  <c r="R35" i="11"/>
  <c r="O14" i="11"/>
  <c r="V14" i="11" s="1"/>
  <c r="X14" i="11" s="1"/>
  <c r="Y14" i="11" s="1"/>
  <c r="U32" i="11"/>
  <c r="V32" i="11" s="1"/>
  <c r="Q35" i="11"/>
  <c r="S36" i="11"/>
  <c r="P41" i="11"/>
  <c r="X33" i="11" l="1"/>
  <c r="Y33" i="11"/>
  <c r="U35" i="11"/>
  <c r="R36" i="11"/>
  <c r="T36" i="11"/>
  <c r="U34" i="11"/>
  <c r="O22" i="11"/>
  <c r="V22" i="11" s="1"/>
  <c r="X22" i="11" s="1"/>
  <c r="Y22" i="11" s="1"/>
  <c r="Q36" i="11"/>
  <c r="X32" i="11"/>
  <c r="O38" i="11"/>
  <c r="S38" i="11"/>
  <c r="S37" i="11"/>
  <c r="P42" i="11"/>
  <c r="V35" i="11" l="1"/>
  <c r="X35" i="11" s="1"/>
  <c r="Y35" i="11" s="1"/>
  <c r="Y32" i="11"/>
  <c r="U37" i="11"/>
  <c r="T37" i="11"/>
  <c r="R37" i="11"/>
  <c r="Q37" i="11"/>
  <c r="O15" i="11"/>
  <c r="V15" i="11" s="1"/>
  <c r="X15" i="11" s="1"/>
  <c r="Y15" i="11" s="1"/>
  <c r="U36" i="11"/>
  <c r="V36" i="11" s="1"/>
  <c r="X36" i="11" s="1"/>
  <c r="Q38" i="11"/>
  <c r="S40" i="11"/>
  <c r="S39" i="11"/>
  <c r="Y36" i="11" l="1"/>
  <c r="AC7" i="11"/>
  <c r="V37" i="11"/>
  <c r="X37" i="11" s="1"/>
  <c r="BF11" i="11" s="1"/>
  <c r="O27" i="11"/>
  <c r="V27" i="11" s="1"/>
  <c r="X27" i="11" s="1"/>
  <c r="Y27" i="11" s="1"/>
  <c r="T38" i="11"/>
  <c r="R38" i="11"/>
  <c r="V38" i="11" s="1"/>
  <c r="X38" i="11" s="1"/>
  <c r="U38" i="11"/>
  <c r="P43" i="11"/>
  <c r="Q40" i="11"/>
  <c r="Q39" i="11"/>
  <c r="S42" i="11"/>
  <c r="S41" i="11"/>
  <c r="BF8" i="11" l="1"/>
  <c r="Y37" i="11"/>
  <c r="Y38" i="11"/>
  <c r="U39" i="11"/>
  <c r="T39" i="11"/>
  <c r="R39" i="11"/>
  <c r="O9" i="11"/>
  <c r="S43" i="11"/>
  <c r="P44" i="11"/>
  <c r="Q41" i="11"/>
  <c r="V9" i="11" l="1"/>
  <c r="X9" i="11" s="1"/>
  <c r="Y9" i="11" s="1"/>
  <c r="T40" i="11"/>
  <c r="O34" i="11"/>
  <c r="R40" i="11"/>
  <c r="U40" i="11"/>
  <c r="T41" i="11"/>
  <c r="Q42" i="11"/>
  <c r="S44" i="11"/>
  <c r="V40" i="11" l="1"/>
  <c r="X40" i="11" s="1"/>
  <c r="BF12" i="11" s="1"/>
  <c r="V34" i="11"/>
  <c r="X34" i="11" s="1"/>
  <c r="Y40" i="11"/>
  <c r="AC9" i="11"/>
  <c r="R41" i="11"/>
  <c r="O39" i="11"/>
  <c r="V39" i="11" s="1"/>
  <c r="X39" i="11" s="1"/>
  <c r="Y39" i="11" s="1"/>
  <c r="U42" i="11"/>
  <c r="O10" i="11"/>
  <c r="V10" i="11" s="1"/>
  <c r="X10" i="11" s="1"/>
  <c r="Y10" i="11" s="1"/>
  <c r="T42" i="11"/>
  <c r="U41" i="11"/>
  <c r="Q43" i="11"/>
  <c r="Y34" i="11" l="1"/>
  <c r="T44" i="11"/>
  <c r="U44" i="11"/>
  <c r="R42" i="11"/>
  <c r="V42" i="11" s="1"/>
  <c r="O28" i="11"/>
  <c r="V28" i="11" s="1"/>
  <c r="X28" i="11" s="1"/>
  <c r="Y28" i="11" s="1"/>
  <c r="O16" i="11"/>
  <c r="V16" i="11" s="1"/>
  <c r="X16" i="11" s="1"/>
  <c r="Y16" i="11" s="1"/>
  <c r="V41" i="11"/>
  <c r="X41" i="11" s="1"/>
  <c r="BF6" i="11" s="1"/>
  <c r="T43" i="11"/>
  <c r="U43" i="11"/>
  <c r="Q44" i="11"/>
  <c r="Y41" i="11" l="1"/>
  <c r="X42" i="11"/>
  <c r="BF13" i="11" s="1"/>
  <c r="R44" i="11"/>
  <c r="V44" i="11" s="1"/>
  <c r="X44" i="11" s="1"/>
  <c r="R43" i="11"/>
  <c r="V43" i="11" s="1"/>
  <c r="X43" i="11" s="1"/>
  <c r="BF10" i="11" l="1"/>
  <c r="BF5" i="11"/>
  <c r="AC6" i="11"/>
  <c r="BF9" i="11"/>
  <c r="BF7" i="11"/>
  <c r="AC11" i="11"/>
  <c r="Y42" i="11"/>
  <c r="AC10" i="11"/>
  <c r="AC8" i="11"/>
  <c r="AC5" i="11"/>
  <c r="BF14" i="11"/>
  <c r="Y44" i="11"/>
  <c r="Y43" i="11"/>
  <c r="AD7" i="11" l="1"/>
  <c r="AE7" i="11" s="1"/>
  <c r="AF7" i="11" s="1"/>
  <c r="AD5" i="11"/>
  <c r="AE5" i="11" s="1"/>
  <c r="AD9" i="11"/>
  <c r="AE9" i="11" s="1"/>
  <c r="AF9" i="11" s="1"/>
  <c r="AD6" i="11"/>
  <c r="AE6" i="11" s="1"/>
  <c r="AF6" i="11" s="1"/>
  <c r="AD11" i="11"/>
  <c r="AE11" i="11" s="1"/>
  <c r="AF11" i="11" s="1"/>
  <c r="AD8" i="11"/>
  <c r="AE8" i="11" s="1"/>
  <c r="AF8" i="11" s="1"/>
  <c r="AD10" i="11"/>
  <c r="AE10" i="11" s="1"/>
  <c r="AF10" i="11" s="1"/>
  <c r="AT20" i="11" l="1"/>
  <c r="AQ20" i="11"/>
  <c r="AN20" i="11"/>
  <c r="AO20" i="11"/>
  <c r="AP20" i="11"/>
  <c r="AR20" i="11"/>
  <c r="AN30" i="11"/>
  <c r="AT30" i="11"/>
  <c r="AO30" i="11"/>
  <c r="AP30" i="11"/>
  <c r="AQ30" i="11"/>
  <c r="AR30" i="11"/>
  <c r="AT35" i="11"/>
  <c r="AP35" i="11"/>
  <c r="AQ35" i="11"/>
  <c r="AR35" i="11"/>
  <c r="AO35" i="11"/>
  <c r="AN35" i="11"/>
  <c r="AQ42" i="11"/>
  <c r="AP42" i="11"/>
  <c r="AN42" i="11"/>
  <c r="AO42" i="11"/>
  <c r="AT42" i="11"/>
  <c r="AR42" i="11"/>
  <c r="AF5" i="11"/>
  <c r="AP10" i="11" s="1"/>
  <c r="AE4" i="11"/>
  <c r="AT15" i="11"/>
  <c r="AN15" i="11"/>
  <c r="AQ15" i="11"/>
  <c r="AO15" i="11"/>
  <c r="AP15" i="11"/>
  <c r="AR15" i="11"/>
  <c r="AT21" i="11"/>
  <c r="AO21" i="11"/>
  <c r="AR21" i="11"/>
  <c r="AQ21" i="11"/>
  <c r="AP21" i="11"/>
  <c r="AN21" i="11"/>
  <c r="AQ32" i="11"/>
  <c r="AT32" i="11"/>
  <c r="AP32" i="11"/>
  <c r="AN32" i="11"/>
  <c r="AR32" i="11"/>
  <c r="AO32" i="11"/>
  <c r="AT34" i="11"/>
  <c r="AO34" i="11"/>
  <c r="AR34" i="11"/>
  <c r="AQ34" i="11"/>
  <c r="AP34" i="11"/>
  <c r="AN34" i="11"/>
  <c r="AQ37" i="11"/>
  <c r="AR37" i="11"/>
  <c r="AO37" i="11"/>
  <c r="AT37" i="11"/>
  <c r="AP37" i="11"/>
  <c r="AN37" i="11"/>
  <c r="AO43" i="11"/>
  <c r="AR43" i="11"/>
  <c r="AN43" i="11"/>
  <c r="AP43" i="11"/>
  <c r="AT43" i="11"/>
  <c r="AQ43" i="11"/>
  <c r="AP9" i="11"/>
  <c r="AN7" i="11"/>
  <c r="AR16" i="11"/>
  <c r="AT16" i="11"/>
  <c r="AQ16" i="11"/>
  <c r="AN16" i="11"/>
  <c r="AO16" i="11"/>
  <c r="AP16" i="11"/>
  <c r="AN19" i="11"/>
  <c r="AR19" i="11"/>
  <c r="AT19" i="11"/>
  <c r="AO19" i="11"/>
  <c r="AP19" i="11"/>
  <c r="AQ19" i="11"/>
  <c r="AQ29" i="11"/>
  <c r="AT29" i="11"/>
  <c r="AR29" i="11"/>
  <c r="AO29" i="11"/>
  <c r="AP29" i="11"/>
  <c r="AN29" i="11"/>
  <c r="AN40" i="11"/>
  <c r="AT40" i="11"/>
  <c r="AQ40" i="11"/>
  <c r="AO40" i="11"/>
  <c r="AP40" i="11"/>
  <c r="AR40" i="11"/>
  <c r="AN11" i="11"/>
  <c r="AQ11" i="11"/>
  <c r="AT14" i="11"/>
  <c r="AO11" i="11"/>
  <c r="AP11" i="11"/>
  <c r="AN14" i="11"/>
  <c r="AO14" i="11"/>
  <c r="AT10" i="11"/>
  <c r="AR14" i="11"/>
  <c r="AP14" i="11"/>
  <c r="AQ14" i="11"/>
  <c r="AR10" i="11"/>
  <c r="AR24" i="11"/>
  <c r="AO24" i="11"/>
  <c r="AN24" i="11"/>
  <c r="AP24" i="11"/>
  <c r="AQ24" i="11"/>
  <c r="AT24" i="11"/>
  <c r="AT27" i="11"/>
  <c r="AQ27" i="11"/>
  <c r="AP27" i="11"/>
  <c r="AR27" i="11"/>
  <c r="AN27" i="11"/>
  <c r="AO27" i="11"/>
  <c r="AP22" i="11"/>
  <c r="AR22" i="11"/>
  <c r="AQ22" i="11"/>
  <c r="AT22" i="11"/>
  <c r="AN22" i="11"/>
  <c r="AO22" i="11"/>
  <c r="AN25" i="11"/>
  <c r="AO25" i="11"/>
  <c r="AT25" i="11"/>
  <c r="AQ25" i="11"/>
  <c r="AR25" i="11"/>
  <c r="AP25" i="11"/>
  <c r="AT33" i="11"/>
  <c r="AP33" i="11"/>
  <c r="AR33" i="11"/>
  <c r="AO33" i="11"/>
  <c r="AQ33" i="11"/>
  <c r="AN33" i="11"/>
  <c r="AQ38" i="11"/>
  <c r="AN38" i="11"/>
  <c r="AO38" i="11"/>
  <c r="AR38" i="11"/>
  <c r="AT38" i="11"/>
  <c r="AP38" i="11"/>
  <c r="AO44" i="11"/>
  <c r="AR44" i="11"/>
  <c r="AQ44" i="11"/>
  <c r="AN44" i="11"/>
  <c r="AP44" i="11"/>
  <c r="AT44" i="11"/>
  <c r="AQ6" i="11"/>
  <c r="AQ12" i="11"/>
  <c r="AR12" i="11"/>
  <c r="AT12" i="11"/>
  <c r="AN12" i="11"/>
  <c r="AO12" i="11"/>
  <c r="AP12" i="11"/>
  <c r="AT17" i="11"/>
  <c r="AP17" i="11"/>
  <c r="AO17" i="11"/>
  <c r="AQ17" i="11"/>
  <c r="AN17" i="11"/>
  <c r="AR17" i="11"/>
  <c r="AT26" i="11"/>
  <c r="AP26" i="11"/>
  <c r="AQ26" i="11"/>
  <c r="AR26" i="11"/>
  <c r="AO26" i="11"/>
  <c r="AN26" i="11"/>
  <c r="AR31" i="11"/>
  <c r="AQ31" i="11"/>
  <c r="AN31" i="11"/>
  <c r="AT31" i="11"/>
  <c r="AO31" i="11"/>
  <c r="AP31" i="11"/>
  <c r="AN36" i="11"/>
  <c r="AQ36" i="11"/>
  <c r="AO36" i="11"/>
  <c r="AR36" i="11"/>
  <c r="AP36" i="11"/>
  <c r="AT36" i="11"/>
  <c r="AO8" i="11" l="1"/>
  <c r="AP5" i="11"/>
  <c r="AP7" i="11"/>
  <c r="AR9" i="11"/>
  <c r="AQ8" i="11"/>
  <c r="AT13" i="11"/>
  <c r="AO6" i="11"/>
  <c r="AP8" i="11"/>
  <c r="BA6" i="11" s="1"/>
  <c r="AO7" i="11"/>
  <c r="AR7" i="11"/>
  <c r="AN6" i="11"/>
  <c r="AR13" i="11"/>
  <c r="AT8" i="11"/>
  <c r="AQ7" i="11"/>
  <c r="AR11" i="11"/>
  <c r="AN5" i="11"/>
  <c r="AU13" i="11" s="1"/>
  <c r="AQ9" i="11"/>
  <c r="AO9" i="11"/>
  <c r="AT9" i="11"/>
  <c r="AP6" i="11"/>
  <c r="AN8" i="11"/>
  <c r="AT7" i="11"/>
  <c r="AT11" i="11"/>
  <c r="AQ5" i="11"/>
  <c r="AO5" i="11"/>
  <c r="AR8" i="11"/>
  <c r="AN9" i="11"/>
  <c r="BA12" i="11"/>
  <c r="AU32" i="11"/>
  <c r="AQ10" i="11"/>
  <c r="AR6" i="11"/>
  <c r="BC13" i="11" s="1"/>
  <c r="AO10" i="11"/>
  <c r="AN10" i="11"/>
  <c r="AT6" i="11"/>
  <c r="BB12" i="11"/>
  <c r="AU15" i="11"/>
  <c r="AU42" i="11"/>
  <c r="AU30" i="11"/>
  <c r="AU33" i="11"/>
  <c r="AY12" i="11"/>
  <c r="AU37" i="11"/>
  <c r="AU31" i="11"/>
  <c r="BA11" i="11"/>
  <c r="BA5" i="11"/>
  <c r="AU36" i="11"/>
  <c r="BD12" i="11"/>
  <c r="AR5" i="11"/>
  <c r="AP13" i="11"/>
  <c r="BA8" i="11" s="1"/>
  <c r="AN13" i="11"/>
  <c r="AO13" i="11"/>
  <c r="AZ8" i="11" s="1"/>
  <c r="AT5" i="11"/>
  <c r="BE11" i="11" s="1"/>
  <c r="BD7" i="11"/>
  <c r="AQ13" i="11"/>
  <c r="AN18" i="11"/>
  <c r="AY11" i="11" s="1"/>
  <c r="AT18" i="11"/>
  <c r="AO18" i="11"/>
  <c r="AP18" i="11"/>
  <c r="AQ18" i="11"/>
  <c r="AR18" i="11"/>
  <c r="BD8" i="11"/>
  <c r="AP23" i="11"/>
  <c r="BA7" i="11" s="1"/>
  <c r="AR23" i="11"/>
  <c r="BC9" i="11" s="1"/>
  <c r="AT23" i="11"/>
  <c r="BE9" i="11" s="1"/>
  <c r="AO23" i="11"/>
  <c r="AZ7" i="11" s="1"/>
  <c r="AQ23" i="11"/>
  <c r="BB7" i="11" s="1"/>
  <c r="BD9" i="11"/>
  <c r="AN23" i="11"/>
  <c r="AY13" i="11" s="1"/>
  <c r="AN28" i="11"/>
  <c r="AO28" i="11"/>
  <c r="AZ6" i="11" s="1"/>
  <c r="AP28" i="11"/>
  <c r="AQ28" i="11"/>
  <c r="BB6" i="11" s="1"/>
  <c r="AT28" i="11"/>
  <c r="AR28" i="11"/>
  <c r="AO39" i="11"/>
  <c r="AZ5" i="11" s="1"/>
  <c r="AT39" i="11"/>
  <c r="BE13" i="11" s="1"/>
  <c r="AR39" i="11"/>
  <c r="AP39" i="11"/>
  <c r="AN39" i="11"/>
  <c r="AY5" i="11" s="1"/>
  <c r="BD13" i="11"/>
  <c r="AQ39" i="11"/>
  <c r="BB5" i="11" s="1"/>
  <c r="AT41" i="11"/>
  <c r="AR41" i="11"/>
  <c r="AO41" i="11"/>
  <c r="AN41" i="11"/>
  <c r="AP41" i="11"/>
  <c r="BA9" i="11" s="1"/>
  <c r="AQ41" i="11"/>
  <c r="BD6" i="11"/>
  <c r="AU35" i="11"/>
  <c r="BB11" i="11"/>
  <c r="AU44" i="11"/>
  <c r="AU9" i="11"/>
  <c r="AU25" i="11"/>
  <c r="BD5" i="11"/>
  <c r="AU40" i="11"/>
  <c r="AU16" i="11"/>
  <c r="AU43" i="11"/>
  <c r="AU21" i="11"/>
  <c r="AY7" i="11"/>
  <c r="AZ12" i="11"/>
  <c r="AU20" i="11"/>
  <c r="AU26" i="11"/>
  <c r="AU12" i="11"/>
  <c r="BC8" i="11"/>
  <c r="AU38" i="11"/>
  <c r="AU27" i="11"/>
  <c r="AU14" i="11"/>
  <c r="AU29" i="11"/>
  <c r="AY14" i="11"/>
  <c r="AZ14" i="11"/>
  <c r="AU17" i="11"/>
  <c r="BD10" i="11"/>
  <c r="AU22" i="11"/>
  <c r="AU24" i="11"/>
  <c r="AU10" i="11"/>
  <c r="AU19" i="11"/>
  <c r="AU34" i="11"/>
  <c r="BC11" i="11" l="1"/>
  <c r="BB8" i="11"/>
  <c r="BE12" i="11"/>
  <c r="BC12" i="11"/>
  <c r="BC7" i="11"/>
  <c r="BE6" i="11"/>
  <c r="BE7" i="11"/>
  <c r="AU8" i="11"/>
  <c r="AU6" i="11"/>
  <c r="AU11" i="11"/>
  <c r="BC5" i="11"/>
  <c r="AY9" i="11"/>
  <c r="BC14" i="11"/>
  <c r="AY10" i="11"/>
  <c r="BE10" i="11"/>
  <c r="BA10" i="11"/>
  <c r="BB9" i="11"/>
  <c r="BC10" i="11"/>
  <c r="AZ11" i="11"/>
  <c r="AZ10" i="11"/>
  <c r="BC6" i="11"/>
  <c r="BD14" i="11"/>
  <c r="BB10" i="11"/>
  <c r="BE8" i="11"/>
  <c r="BG8" i="11" s="1"/>
  <c r="AU7" i="11"/>
  <c r="BB14" i="11"/>
  <c r="BE5" i="11"/>
  <c r="AZ9" i="11"/>
  <c r="BE14" i="11"/>
  <c r="BA14" i="11"/>
  <c r="BA13" i="11"/>
  <c r="AZ13" i="11"/>
  <c r="BD11" i="11"/>
  <c r="BB13" i="11"/>
  <c r="AU23" i="11"/>
  <c r="AY6" i="11"/>
  <c r="AU28" i="11"/>
  <c r="AU5" i="11"/>
  <c r="AY8" i="11"/>
  <c r="BG9" i="11"/>
  <c r="AU39" i="11"/>
  <c r="AU18" i="11"/>
  <c r="AU41" i="11"/>
  <c r="BG12" i="11" l="1"/>
  <c r="BG7" i="11"/>
  <c r="BG13" i="11"/>
  <c r="BG10" i="11"/>
  <c r="BG6" i="11"/>
  <c r="BG11" i="11"/>
  <c r="BG14" i="11"/>
  <c r="BG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tc={B6A6CE54-972C-474D-AC1E-16288226552C}</author>
    <author>tc={20DC4CC5-02F5-4660-9988-903A09D2523F}</author>
    <author>tc={62031B91-2A65-45A8-8CA8-FB8472AC2E67}</author>
  </authors>
  <commentList>
    <comment ref="C4" authorId="0" shapeId="0" xr:uid="{B6A6CE54-972C-474D-AC1E-16288226552C}">
      <text>
        <t>[Threaded comment]
Your version of Excel allows you to read this threaded comment; however, any edits to it will get removed if the file is opened in a newer version of Excel. Learn more: https://go.microsoft.com/fwlink/?linkid=870924
Comment:
    CoSeT calculates how many are needed, if there are no exclusions (i.e., Conflicts of Interest).  If CoSeT is having trouble making all the assignments consider increasing this parameter to allow some of the markers to score more projects.</t>
      </text>
    </comment>
    <comment ref="K13" authorId="1" shapeId="0" xr:uid="{20DC4CC5-02F5-4660-9988-903A09D2523F}">
      <text>
        <t>[Threaded comment]
Your version of Excel allows you to read this threaded comment; however, any edits to it will get removed if the file is opened in a newer version of Excel. Learn more: https://go.microsoft.com/fwlink/?linkid=870924
Comment:
    Defined by the number of titles on the project sheet</t>
      </text>
    </comment>
    <comment ref="K16" authorId="2" shapeId="0" xr:uid="{62031B91-2A65-45A8-8CA8-FB8472AC2E67}">
      <text>
        <t>[Threaded comment]
Your version of Excel allows you to read this threaded comment; however, any edits to it will get removed if the file is opened in a newer version of Excel. Learn more: https://go.microsoft.com/fwlink/?linkid=870924
Comment:
    Defined by the number of names on the Markers sheet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tc={781A631C-A4BD-4B14-B8B1-A778BBFD1218}</author>
  </authors>
  <commentList>
    <comment ref="BH4" authorId="0" shapeId="0" xr:uid="{781A631C-A4BD-4B14-B8B1-A778BBFD1218}">
      <text>
        <t>[Threaded comment]
Your version of Excel allows you to read this threaded comment; however, any edits to it will get removed if the file is opened in a newer version of Excel. Learn more: https://go.microsoft.com/fwlink/?linkid=870924
Comment:
    DO NOT EDIT OR SORT THIS COLUMN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tc={684D96AB-FDA2-4338-91D9-C5C3454D6B5C}</author>
  </authors>
  <commentList>
    <comment ref="A1" authorId="0" shapeId="0" xr:uid="{684D96AB-FDA2-4338-91D9-C5C3454D6B5C}">
      <text>
        <t>[Threaded comment]
Your version of Excel allows you to read this threaded comment; however, any edits to it will get removed if the file is opened in a newer version of Excel. Learn more: https://go.microsoft.com/fwlink/?linkid=870924
Comment:
    If there is a period '.' in this cell please leave it there.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tc={B5A89DAC-84FC-4291-BF31-74555B594A1E}</author>
    <author>tc={57479133-3853-415B-AB1B-D5E7D88A5B75}</author>
    <author>tc={998FECAC-D009-4961-B4C4-5A0DA81BFE4C}</author>
    <author>tc={D62801E9-F7F8-47BD-8721-5152BB3BF822}</author>
    <author>tc={BB0AE123-4D05-4F39-BFB2-E646BFDD1E8A}</author>
  </authors>
  <commentList>
    <comment ref="C1" authorId="0" shapeId="0" xr:uid="{B5A89DAC-84FC-4291-BF31-74555B594A1E}">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D1" authorId="1" shapeId="0" xr:uid="{57479133-3853-415B-AB1B-D5E7D88A5B75}">
      <text>
        <t>[Threaded comment]
Your version of Excel allows you to read this threaded comment; however, any edits to it will get removed if the file is opened in a newer version of Excel. Learn more: https://go.microsoft.com/fwlink/?linkid=870924
Comment:
    Add or subtract columns as you want.</t>
      </text>
    </comment>
    <comment ref="E1" authorId="2" shapeId="0" xr:uid="{998FECAC-D009-4961-B4C4-5A0DA81BFE4C}">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F1" authorId="3" shapeId="0" xr:uid="{D62801E9-F7F8-47BD-8721-5152BB3BF822}">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 ref="G1" authorId="4" shapeId="0" xr:uid="{BB0AE123-4D05-4F39-BFB2-E646BFDD1E8A}">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tc={B4090FAB-E311-4C3A-924F-7E26B0CA4285}</author>
    <author>tc={74465F1E-31A1-4FD8-99EF-A9744843BEC6}</author>
  </authors>
  <commentList>
    <comment ref="A3" authorId="0" shapeId="0" xr:uid="{B4090FAB-E311-4C3A-924F-7E26B0CA4285}">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criteria).</t>
      </text>
    </comment>
    <comment ref="G9" authorId="1" shapeId="0" xr:uid="{74465F1E-31A1-4FD8-99EF-A9744843BEC6}">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A:E, followed by a PASTE SPECIAL TRANSPOSE referencing this cell.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tc={FA959E0D-35AB-4FE3-BF26-DFFF77EB65FE}</author>
  </authors>
  <commentList>
    <comment ref="A3" authorId="0" shapeId="0" xr:uid="{FA959E0D-35AB-4FE3-BF26-DFFF77EB65FE}">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projects).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tc={5FB6D42A-BF73-44A4-95B5-7A7E699AC76E}</author>
    <author>tc={9E9F8D58-2B23-441B-9E91-80A97268ED37}</author>
  </authors>
  <commentList>
    <comment ref="A1" authorId="0" shapeId="0" xr:uid="{5FB6D42A-BF73-44A4-95B5-7A7E699AC76E}">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A2" authorId="1" shapeId="0" xr:uid="{9E9F8D58-2B23-441B-9E91-80A97268ED37}">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markers).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tc={D90147E4-A6D3-46F7-ACA8-FA741C3D08A8}</author>
    <author>tc={FFDF1C0D-7B96-44A3-B6D7-8A2BA245677E}</author>
    <author>tc={32B0DC6F-19DC-47FB-9275-65FBED2ED839}</author>
    <author>tc={C143AED0-C418-46F6-8FB7-337989D9635F}</author>
  </authors>
  <commentList>
    <comment ref="D2" authorId="0" shapeId="0" xr:uid="{D90147E4-A6D3-46F7-ACA8-FA741C3D08A8}">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 ref="A3" authorId="1" shapeId="0" xr:uid="{FFDF1C0D-7B96-44A3-B6D7-8A2BA245677E}">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keywords).</t>
      </text>
    </comment>
    <comment ref="F4" authorId="2" shapeId="0" xr:uid="{32B0DC6F-19DC-47FB-9275-65FBED2ED839}">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A:D, followed by a PASTE SPECIAL TRANSPOSE referencing this cell.</t>
      </text>
    </comment>
    <comment ref="F7" authorId="3" shapeId="0" xr:uid="{C143AED0-C418-46F6-8FB7-337989D9635F}">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tc={E4DAEAE0-6085-497B-900B-E2EB806FED63}</author>
    <author>tc={B4A55AEC-2FF2-444D-A6B5-6B579AD17F36}</author>
  </authors>
  <commentList>
    <comment ref="C4" authorId="0" shapeId="0" xr:uid="{E4DAEAE0-6085-497B-900B-E2EB806FED63}">
      <text>
        <t>[Threaded comment]
Your version of Excel allows you to read this threaded comment; however, any edits to it will get removed if the file is opened in a newer version of Excel. Learn more: https://go.microsoft.com/fwlink/?linkid=870924
Comment:
    Enter your level of expertise for each project as  L (low), M (medium) or H (high) in each cell.</t>
      </text>
    </comment>
    <comment ref="J4" authorId="1" shapeId="0" xr:uid="{B4A55AEC-2FF2-444D-A6B5-6B579AD17F36}">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tc={5C901124-0D42-4DCF-91BE-06F23AD0334B}</author>
    <author>tc={8BDCB397-F64D-4DAF-A253-20D500FD3EB4}</author>
  </authors>
  <commentList>
    <comment ref="C4" authorId="0" shapeId="0" xr:uid="{5C901124-0D42-4DCF-91BE-06F23AD0334B}">
      <text>
        <t>[Threaded comment]
Your version of Excel allows you to read this threaded comment; however, any edits to it will get removed if the file is opened in a newer version of Excel. Learn more: https://go.microsoft.com/fwlink/?linkid=870924
Comment:
    This table should have expertise against the keywords as L, M or H (or blank).</t>
      </text>
    </comment>
    <comment ref="J4" authorId="1" shapeId="0" xr:uid="{8BDCB397-F64D-4DAF-A253-20D500FD3EB4}">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tc={49C2671D-2AB4-47B5-A432-3944624A45FE}</author>
  </authors>
  <commentList>
    <comment ref="N7" authorId="0" shapeId="0" xr:uid="{49C2671D-2AB4-47B5-A432-3944624A45FE}">
      <text>
        <t>[Threaded comment]
Your version of Excel allows you to read this threaded comment; however, any edits to it will get removed if the file is opened in a newer version of Excel. Learn more: https://go.microsoft.com/fwlink/?linkid=870924
Comment:
    To make/change assignments, change the number of the marker in these columns.
Then run ASSIGN MARKERS which will complete the assignments, and put the assignments in the Assignments Master sheet.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tc={B2E202BD-8981-447C-96A9-0871FE43E0DB}</author>
    <author>tc={FBF462C1-7ADB-4DF5-928C-7A15CFE7F7D8}</author>
    <author>tc={2BD7FB8C-B78E-410F-8438-54F84EE0A71D}</author>
    <author>tc={A52F1D39-7DF0-41D4-A110-3A7EE905332B}</author>
    <author>tc={AC28805C-A3ED-4717-936F-88F6EC993FF3}</author>
    <author>tc={9E399FA4-E617-4CDD-BFFE-AEBA9C111927}</author>
    <author>tc={260FFC86-4E83-42A1-9F46-24DBE65C298A}</author>
    <author>tc={EEA84102-6238-4352-A069-A7ABCBE14373}</author>
    <author>tc={E357DA89-6BA6-4ABE-9BAE-1A6F8A322409}</author>
  </authors>
  <commentList>
    <comment ref="E1" authorId="0" shapeId="0" xr:uid="{B2E202BD-8981-447C-96A9-0871FE43E0DB}">
      <text>
        <t>[Threaded comment]
Your version of Excel allows you to read this threaded comment; however, any edits to it will get removed if the file is opened in a newer version of Excel. Learn more: https://go.microsoft.com/fwlink/?linkid=870924
Comment:
    Sum of H=3, M=2, L=1 for assignments.</t>
      </text>
    </comment>
    <comment ref="J2" authorId="1" shapeId="0" xr:uid="{FBF462C1-7ADB-4DF5-928C-7A15CFE7F7D8}">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O2" authorId="2" shapeId="0" xr:uid="{2BD7FB8C-B78E-410F-8438-54F84EE0A71D}">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W2" authorId="3" shapeId="0" xr:uid="{A52F1D39-7DF0-41D4-A110-3A7EE905332B}">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3" authorId="4" shapeId="0" xr:uid="{AC28805C-A3ED-4717-936F-88F6EC993FF3}">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4" authorId="5" shapeId="0" xr:uid="{9E399FA4-E617-4CDD-BFFE-AEBA9C111927}">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5" authorId="6" shapeId="0" xr:uid="{260FFC86-4E83-42A1-9F46-24DBE65C298A}">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6" authorId="7" shapeId="0" xr:uid="{EEA84102-6238-4352-A069-A7ABCBE14373}">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7" authorId="8" shapeId="0" xr:uid="{E357DA89-6BA6-4ABE-9BAE-1A6F8A322409}">
      <text>
        <t>[Threaded comment]
Your version of Excel allows you to read this threaded comment; however, any edits to it will get removed if the file is opened in a newer version of Excel. Learn more: https://go.microsoft.com/fwlink/?linkid=870924
Comment:
    sum of entries from Columns F to J, compare with (# of Markers) X (Target # per Marker) or (# of projects) X (target # of markers per project)</t>
      </text>
    </comment>
  </commentList>
</comments>
</file>

<file path=xl/sharedStrings.xml><?xml version="1.0" encoding="utf-8"?>
<sst xmlns="http://schemas.openxmlformats.org/spreadsheetml/2006/main" count="587" uniqueCount="269">
  <si>
    <t>Parameter</t>
  </si>
  <si>
    <t>Value for this Competition</t>
  </si>
  <si>
    <t>Number of marking criteria in this competition</t>
  </si>
  <si>
    <t>target # of markers per project</t>
  </si>
  <si>
    <t>Maximum # of projects to be assigned to a marker</t>
  </si>
  <si>
    <t>Number of keywords</t>
  </si>
  <si>
    <t>Target scores after normalization (as % of total)</t>
  </si>
  <si>
    <t>typically 50% or higher</t>
  </si>
  <si>
    <t>Name of the competition</t>
  </si>
  <si>
    <t>AN EXCITING PROGRAM/COMPETITION</t>
  </si>
  <si>
    <t xml:space="preserve">Competition Contact person &amp; email </t>
  </si>
  <si>
    <t>…</t>
  </si>
  <si>
    <t>contact Website</t>
  </si>
  <si>
    <t>Root Directory for this competition</t>
  </si>
  <si>
    <t>Use subfolders for managing personalized files for markers</t>
  </si>
  <si>
    <t xml:space="preserve">     expertise_by_project_requested_folder </t>
  </si>
  <si>
    <t>\Expertise by Project Requested\</t>
  </si>
  <si>
    <t>Subfolder under about root folder</t>
  </si>
  <si>
    <t xml:space="preserve">     expertise_by_project_received_folder </t>
  </si>
  <si>
    <t>\Expertise by Project Received\</t>
  </si>
  <si>
    <t>subfolder name</t>
  </si>
  <si>
    <t>Marking Cohort Design Parameters</t>
  </si>
  <si>
    <t xml:space="preserve">     expertise_by_keyword_requested_folder</t>
  </si>
  <si>
    <t>\Expertise by Keyword Requested\</t>
  </si>
  <si>
    <t># projects</t>
  </si>
  <si>
    <t>INPUTS</t>
  </si>
  <si>
    <t xml:space="preserve">     expertise_by_keyword_received_folder </t>
  </si>
  <si>
    <t>\Expertise by Keyword Received\</t>
  </si>
  <si>
    <t>target # markers per project</t>
  </si>
  <si>
    <t xml:space="preserve">     scores_requested_folder </t>
  </si>
  <si>
    <t>\Scores Requested\</t>
  </si>
  <si>
    <t>Maximum # of first reader assignments per marker</t>
  </si>
  <si>
    <t xml:space="preserve">     scores_received_folder </t>
  </si>
  <si>
    <t>\Scores Received\</t>
  </si>
  <si>
    <t xml:space="preserve"># of markers </t>
  </si>
  <si>
    <t>Comments compiled by project folder</t>
  </si>
  <si>
    <t>\Comments on Projects\</t>
  </si>
  <si>
    <t># of marking assignments</t>
  </si>
  <si>
    <t>OUTPUTS</t>
  </si>
  <si>
    <t>Use organization in Personalized file names</t>
  </si>
  <si>
    <t>For disambiguation</t>
  </si>
  <si>
    <t># each marker scores</t>
  </si>
  <si>
    <t>Use Email in Personalized File Names</t>
  </si>
  <si>
    <t>Target # as first marker</t>
  </si>
  <si>
    <t>Use Normalized Scoring</t>
  </si>
  <si>
    <t>Deals W/ harsh &amp; generous markers</t>
  </si>
  <si>
    <t>Gather Comments on the Submissions</t>
  </si>
  <si>
    <t>different scoresheet</t>
  </si>
  <si>
    <t>Comment Output format</t>
  </si>
  <si>
    <t>TEXT</t>
  </si>
  <si>
    <t>Choices: HTML, XLSX, TEXT or PRINTER</t>
  </si>
  <si>
    <t>Treat blank expertise  as exclusions</t>
  </si>
  <si>
    <t>See the System Parameters sheet and Assignments Master for limits related to the  parameters on this sheet</t>
  </si>
  <si>
    <t>PLEASE DO NOT EDIT CELLS WITH GREY BACKGROUND - IT MAY AFFECT HOW THE MACROS OPERATE.</t>
  </si>
  <si>
    <t>Enter the list the Criteria for this competition</t>
  </si>
  <si>
    <t># of Criteria</t>
  </si>
  <si>
    <t>Criteria #</t>
  </si>
  <si>
    <t>Criteria Names 
(keep these short)</t>
  </si>
  <si>
    <t>Min value</t>
  </si>
  <si>
    <t>Max Value</t>
  </si>
  <si>
    <t>Score Limits</t>
  </si>
  <si>
    <t xml:space="preserve">max score possible </t>
  </si>
  <si>
    <t>Criteria 1</t>
  </si>
  <si>
    <t>min score possible</t>
  </si>
  <si>
    <t>Criteria 2</t>
  </si>
  <si>
    <t>Criteria 3</t>
  </si>
  <si>
    <t>Criteria 4</t>
  </si>
  <si>
    <t>Criteria 5</t>
  </si>
  <si>
    <t>Criteria 6</t>
  </si>
  <si>
    <t>DO NOT MODIFY THESE ENTRIES</t>
  </si>
  <si>
    <t>(Used to populate headers in the scoresheets)</t>
  </si>
  <si>
    <t>Criteria 7</t>
  </si>
  <si>
    <t>Project #</t>
  </si>
  <si>
    <t>Mentor's Marker #</t>
  </si>
  <si>
    <t>TAGS</t>
  </si>
  <si>
    <t>Number of projects</t>
  </si>
  <si>
    <t>Project Name</t>
  </si>
  <si>
    <t>Contact Name</t>
  </si>
  <si>
    <t>Organization</t>
  </si>
  <si>
    <t>Contact Email</t>
  </si>
  <si>
    <t>Description</t>
  </si>
  <si>
    <t>Sub-competition</t>
  </si>
  <si>
    <t>bonus topic 1</t>
  </si>
  <si>
    <t>bonus aspect 2</t>
  </si>
  <si>
    <t>Project 1</t>
  </si>
  <si>
    <t>Project 2</t>
  </si>
  <si>
    <t>Project 3</t>
  </si>
  <si>
    <t>Project 4</t>
  </si>
  <si>
    <t>Project 5</t>
  </si>
  <si>
    <t>Project 6</t>
  </si>
  <si>
    <t>Project 7</t>
  </si>
  <si>
    <t>Project 8</t>
  </si>
  <si>
    <t>Project 9</t>
  </si>
  <si>
    <t>Project 10</t>
  </si>
  <si>
    <t>Marker #</t>
  </si>
  <si>
    <t>Marker Name</t>
  </si>
  <si>
    <t># of teams mentoring</t>
  </si>
  <si>
    <t>Number of Markers</t>
  </si>
  <si>
    <t>Marker 1</t>
  </si>
  <si>
    <t>Marker 2</t>
  </si>
  <si>
    <t>Marker 3</t>
  </si>
  <si>
    <t>Marker 4</t>
  </si>
  <si>
    <t>Marker 5</t>
  </si>
  <si>
    <t>Marker 6</t>
  </si>
  <si>
    <t>Marker 7</t>
  </si>
  <si>
    <t>List the Keywords Important for this Competition</t>
  </si>
  <si>
    <t>Keyword #</t>
  </si>
  <si>
    <t>Broad areas</t>
  </si>
  <si>
    <t>Subtopics</t>
  </si>
  <si>
    <t>Subtopic Weight</t>
  </si>
  <si>
    <t># of keywords</t>
  </si>
  <si>
    <t>Sum of weights</t>
  </si>
  <si>
    <t>Keyword 1</t>
  </si>
  <si>
    <t>Keyword 2</t>
  </si>
  <si>
    <t>Keyword 3</t>
  </si>
  <si>
    <t>Climate impacts</t>
  </si>
  <si>
    <t>Keyword 4</t>
  </si>
  <si>
    <t>what is post secondary education</t>
  </si>
  <si>
    <t>why is education important</t>
  </si>
  <si>
    <t>why education is important</t>
  </si>
  <si>
    <t>what is secondary education</t>
  </si>
  <si>
    <t>Please indicate which topic(s) is/are relevant to your project  in these areas as H (High), M (Medium) or L (Low)</t>
  </si>
  <si>
    <t>Weight</t>
  </si>
  <si>
    <t>Error Checking</t>
  </si>
  <si>
    <t>Total</t>
  </si>
  <si>
    <t xml:space="preserve"> Expertise per Keyword</t>
  </si>
  <si>
    <t>Please enter your expertise in these areas as H (High), M (Medium) or L (Low)</t>
  </si>
  <si>
    <t>Project Relevance to Keywords asa Numbers (0  to 1)</t>
  </si>
  <si>
    <t>Expertise (aim for below zero)</t>
  </si>
  <si>
    <t>AVERAGE</t>
  </si>
  <si>
    <t>AVG.EXP.</t>
  </si>
  <si>
    <t>Marker name
Projects                             .</t>
  </si>
  <si>
    <t>Use this sheet to manually adjust assignments BEFORE the final ASSIGN MARKERS run.</t>
  </si>
  <si>
    <t xml:space="preserve"> Total # of expertise levels</t>
  </si>
  <si>
    <t>Expertise signalled by markers</t>
  </si>
  <si>
    <t xml:space="preserve">PLEASE DO NOT EDIT CELLS WITH GREY BACKGROUND </t>
  </si>
  <si>
    <t>X</t>
  </si>
  <si>
    <t>Confidence Sum</t>
  </si>
  <si>
    <t># of COI</t>
  </si>
  <si>
    <t>IT MAY AFFECT HOW THE MACROS OPERATE.</t>
  </si>
  <si>
    <t># of Low</t>
  </si>
  <si>
    <t>Expertise</t>
  </si>
  <si>
    <t>Selected Marker Confidence 
(3 = High)</t>
  </si>
  <si>
    <t># of medium</t>
  </si>
  <si>
    <t>Counts</t>
  </si>
  <si>
    <t xml:space="preserve">Marker # assigned </t>
  </si>
  <si>
    <t># HIGH</t>
  </si>
  <si>
    <t xml:space="preserve">Project Name   </t>
  </si>
  <si>
    <t xml:space="preserve">Scaled Total </t>
  </si>
  <si>
    <t>Count total</t>
  </si>
  <si>
    <t xml:space="preserve"># COIs </t>
  </si>
  <si>
    <t>L</t>
  </si>
  <si>
    <t>M</t>
  </si>
  <si>
    <t>H</t>
  </si>
  <si>
    <t>Marker#</t>
  </si>
  <si>
    <t>Marker # assigned</t>
  </si>
  <si>
    <t>Name of marker assigned</t>
  </si>
  <si>
    <t>Verification about marker assignments</t>
  </si>
  <si>
    <t>Item</t>
  </si>
  <si>
    <t>calculated</t>
  </si>
  <si>
    <t>Flag</t>
  </si>
  <si>
    <t>Mentor #</t>
  </si>
  <si>
    <t>mentor / Marker conflict?</t>
  </si>
  <si>
    <t># projects assigned</t>
  </si>
  <si>
    <t xml:space="preserve">Issues RE # assigned  </t>
  </si>
  <si>
    <t># as first reviewer</t>
  </si>
  <si>
    <t xml:space="preserve">Issues re # first reviews assigned </t>
  </si>
  <si>
    <t># of assignments specified</t>
  </si>
  <si>
    <t>RAW SCORES TABLE</t>
  </si>
  <si>
    <t>NORMALIZATION</t>
  </si>
  <si>
    <t>Target</t>
  </si>
  <si>
    <t>Reader #</t>
  </si>
  <si>
    <t>Criteria-&gt;</t>
  </si>
  <si>
    <t>MAX-&gt;</t>
  </si>
  <si>
    <t>All Criteria Scored?</t>
  </si>
  <si>
    <t># Useful Scores</t>
  </si>
  <si>
    <t>Sum of scores</t>
  </si>
  <si>
    <t># of scores used</t>
  </si>
  <si>
    <t>Total of Scores</t>
  </si>
  <si>
    <t>Average</t>
  </si>
  <si>
    <t>Normalization Factor</t>
  </si>
  <si>
    <t>Total score</t>
  </si>
  <si>
    <t>Criteria&gt;</t>
  </si>
  <si>
    <t># of Markers</t>
  </si>
  <si>
    <t>Final Total</t>
  </si>
  <si>
    <t>Minimum</t>
  </si>
  <si>
    <t>Maximum</t>
  </si>
  <si>
    <t>Valid Criteria Score? (1 = yes)</t>
  </si>
  <si>
    <t># scores</t>
  </si>
  <si>
    <t>RANK</t>
  </si>
  <si>
    <t>Raw Scores</t>
  </si>
  <si>
    <t>Normalized Scores</t>
  </si>
  <si>
    <t>Rank</t>
  </si>
  <si>
    <t>Raw Reader #</t>
  </si>
  <si>
    <t># of Readers</t>
  </si>
  <si>
    <t>Raw Average</t>
  </si>
  <si>
    <t>Raw Min</t>
  </si>
  <si>
    <t>Raw Max</t>
  </si>
  <si>
    <t>Raw Span</t>
  </si>
  <si>
    <t>Raw Variance</t>
  </si>
  <si>
    <t>Raw Std. Dev.</t>
  </si>
  <si>
    <t>Norm.Reader #</t>
  </si>
  <si>
    <t>Norm. Average</t>
  </si>
  <si>
    <t>Norm. Min</t>
  </si>
  <si>
    <t>Norm. Max</t>
  </si>
  <si>
    <t>Norm. Span</t>
  </si>
  <si>
    <t>Norm. Variance</t>
  </si>
  <si>
    <t>Norm. Std. Dev.</t>
  </si>
  <si>
    <r>
      <t xml:space="preserve">In the </t>
    </r>
    <r>
      <rPr>
        <b/>
        <sz val="11"/>
        <color theme="1"/>
        <rFont val="Calibri"/>
        <family val="2"/>
        <scheme val="minor"/>
      </rPr>
      <t xml:space="preserve">attached worksheet </t>
    </r>
    <r>
      <rPr>
        <sz val="11"/>
        <color theme="1"/>
        <rFont val="Calibri"/>
        <family val="2"/>
        <scheme val="minor"/>
      </rPr>
      <t>please review the information for each team and then signal:</t>
    </r>
  </si>
  <si>
    <t>1) Do you have a relationship or other factor which would put you in a possible conflict of interest to review this proposal? (column F).</t>
  </si>
  <si>
    <t>(This includes if you are the mentor advising that team, which hopefully we have captured on your expertise sheet as a conflict of interest).</t>
  </si>
  <si>
    <t>What level of confidence do you have in rating each of the projects listed that you do not have aconflict of interest with  based on the information provided? (Enter L, M or H)</t>
  </si>
  <si>
    <t>There are two sheets for you to complete. One the next sheet, please indicate your level of confidence in scoring proposals that focus on the indicated keywords. Score your confidence as: High (H), Medium (M) or Low (L).
On the last sheet, please indicate if you are in conflict of interest with any of the projects submitted. 
 You will not review projects where you are in a Conflict of Interest.
We will attempt to match you with projects that intersect with your keywords, but it may not be possible in all cases.</t>
  </si>
  <si>
    <t>We will contact you shortly after the projects are submitted to advise you further about scoring the projects.</t>
  </si>
  <si>
    <t>Conflict of Interest:  
 Y for YES.
 Leave empty for No COI.</t>
  </si>
  <si>
    <t>Expertise: Enter your level of comfort/expertise marking each project (use L for Low, M for Medium, H for High)</t>
  </si>
  <si>
    <t>Advice to Expert</t>
  </si>
  <si>
    <t>KEYWORD</t>
  </si>
  <si>
    <r>
      <t>Enter your level of expertise marking each project in this area</t>
    </r>
    <r>
      <rPr>
        <sz val="11"/>
        <color theme="1"/>
        <rFont val="Calibri"/>
        <family val="2"/>
        <scheme val="minor"/>
      </rPr>
      <t xml:space="preserve"> 
</t>
    </r>
    <r>
      <rPr>
        <b/>
        <sz val="11"/>
        <color theme="1"/>
        <rFont val="Calibri"/>
        <family val="2"/>
        <scheme val="minor"/>
      </rPr>
      <t>(use L for Low, M for Medium, H for High)</t>
    </r>
  </si>
  <si>
    <t>In this workbook there are individual sheets for you to complete, one for each project that we are asking to you score.  
For each sheet, please:
  - Confirm whether you have a conflict of interest with the submission (if you have a conflict please do not complete the remainder of the sheet).
  - Confirm your confidence in evaluting the submission (High, Medium or Low).
  - For each of the criteria, please enter a score, and provide any comments about the strengths or weaknesses of this aspect of the submission.</t>
  </si>
  <si>
    <t>The submission number, submission name and corresponding tab name are given in the table below.</t>
  </si>
  <si>
    <t>Thank you for your time and effort to contribute to the evaluation of these submissions.</t>
  </si>
  <si>
    <t>Total:</t>
  </si>
  <si>
    <t>Submission #</t>
  </si>
  <si>
    <t>Submission Title</t>
  </si>
  <si>
    <t>Tab Name</t>
  </si>
  <si>
    <t>Competition:</t>
  </si>
  <si>
    <t>SCORESHEET</t>
  </si>
  <si>
    <t>PLEASE ENTER ONE SCORE FOR EACH CRITERION</t>
  </si>
  <si>
    <t>Reader # on this submission:</t>
  </si>
  <si>
    <t>Submission Title:</t>
  </si>
  <si>
    <t>I confirm that I am not in a conflict of interest with the applicant(s) or this submission (YES/NO)</t>
  </si>
  <si>
    <t>After reviewing the information about this submission, my confidence in rating it is: (place an "X" in the appropriate box)</t>
  </si>
  <si>
    <t>Low</t>
  </si>
  <si>
    <t>Medium</t>
  </si>
  <si>
    <t>High</t>
  </si>
  <si>
    <t>In the box below, provide any general comments about the the submission that are not relevant to the evalution criteria:</t>
  </si>
  <si>
    <t>Criteria Title:</t>
  </si>
  <si>
    <t>Your Score:</t>
  </si>
  <si>
    <t>Comments on the Strengths and Weaknesses with regards to this criteria</t>
  </si>
  <si>
    <t>Thanks you for your contributions to this competition.</t>
  </si>
  <si>
    <t>#</t>
  </si>
  <si>
    <t>Name:</t>
  </si>
  <si>
    <t xml:space="preserve">Please enter your marks for each of the projects that you have been assigned in the white boxes below </t>
  </si>
  <si>
    <t xml:space="preserve">To compensate for some markers being generous, </t>
  </si>
  <si>
    <t>Raw Scores for each criteria</t>
  </si>
  <si>
    <t>Normalized Scores for each criteria</t>
  </si>
  <si>
    <t>or harsh, the formulas in the sheet will calculate</t>
  </si>
  <si>
    <t xml:space="preserve"> 'normalized' marks, so that the average </t>
  </si>
  <si>
    <t>Criteria Name</t>
  </si>
  <si>
    <t>Raw Total</t>
  </si>
  <si>
    <t>Norm’zed Total</t>
  </si>
  <si>
    <t xml:space="preserve"> for all markers is the same (averaged across all the</t>
  </si>
  <si>
    <t>Min</t>
  </si>
  <si>
    <t xml:space="preserve"> projects they mark).</t>
  </si>
  <si>
    <t>Max</t>
  </si>
  <si>
    <t>Reader Number</t>
  </si>
  <si>
    <t>Enter your scores below:</t>
  </si>
  <si>
    <t>PLEASE DO NOT EDIT CELLS WITH GREY BACKGROUND.</t>
  </si>
  <si>
    <t>Number Assigned</t>
  </si>
  <si>
    <t>Normalization Target</t>
  </si>
  <si>
    <t>(Harsh, Neutral, Generous)</t>
  </si>
  <si>
    <t>Comments compiled from markers</t>
  </si>
  <si>
    <t>General Comments provided</t>
  </si>
  <si>
    <t>Description:</t>
  </si>
  <si>
    <t>Comments provided on the Strengths and Weaknesses with regards to this criteria</t>
  </si>
  <si>
    <t>This concludes the feedback on your project.</t>
  </si>
  <si>
    <t>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</si>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</sst>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0_-;\-* #,##0.0_-;_-* &quot;-&quot;??_-;_-@_-"/>
    <numFmt numFmtId="167" formatCode="_-* #,##0_-;\-* #,##0_-;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11"/>
      <name val="Calibri"/>
      <family val="2"/>
      <scheme val="minor"/>
    </font>
    <font>
      <b/>
      <sz val="11"/>
      <color rgb="FF000000"/>
      <name val="Calibri"/>
      <family val="2"/>
      <scheme val="minor"/>
    </font>
    <font>
      <b/>
      <sz val="16"/>
      <color theme="1"/>
      <name val="Calibri"/>
      <family val="2"/>
      <scheme val="minor"/>
    </font>
    <font>
      <b/>
      <sz val="16"/>
      <color rgb="FF000000"/>
      <name val="Calibri"/>
      <family val="2"/>
      <scheme val="minor"/>
    </font>
    <font>
      <sz val="11"/>
      <color rgb="FF000000"/>
      <name val="Calibri"/>
      <family val="2"/>
      <scheme val="minor"/>
    </font>
    <font>
      <b/>
      <sz val="14"/>
      <color theme="1"/>
      <name val="Calibri"/>
      <family val="2"/>
      <scheme val="minor"/>
    </font>
    <font>
      <b/>
      <sz val="12"/>
      <color rgb="FFFF0000"/>
      <name val="Calibri"/>
      <family val="2"/>
      <scheme val="minor"/>
    </font>
    <font>
      <b/>
      <sz val="11"/>
      <color rgb="FFFF0000"/>
      <name val="Calibri"/>
      <family val="2"/>
      <scheme val="minor"/>
    </font>
    <font>
      <b/>
      <i/>
      <sz val="11"/>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99"/>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style="thin">
        <color indexed="64"/>
      </top>
      <bottom/>
      <diagonal style="thin">
        <color indexed="64"/>
      </diagonal>
    </border>
    <border diagonalUp="1" diagonalDown="1">
      <left/>
      <right/>
      <top/>
      <bottom/>
      <diagonal style="thin">
        <color indexed="64"/>
      </diagonal>
    </border>
    <border diagonalDown="1">
      <left style="thin">
        <color indexed="64"/>
      </left>
      <right style="thin">
        <color indexed="64"/>
      </right>
      <top style="thin">
        <color indexed="64"/>
      </top>
      <bottom style="thin">
        <color indexed="64"/>
      </bottom>
      <diagonal style="thin">
        <color auto="1"/>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482">
    <xf numFmtId="0" fontId="0" fillId="0" borderId="0" xfId="0"/>
    <xf numFmtId="0" fontId="4" fillId="2" borderId="0" xfId="0" applyFont="1" applyFill="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2" borderId="1" xfId="0" applyFill="1" applyBorder="1" applyAlignment="1">
      <alignment horizontal="right"/>
    </xf>
    <xf numFmtId="0" fontId="0" fillId="2" borderId="2" xfId="0" applyFill="1" applyBorder="1" applyAlignment="1">
      <alignment horizontal="center"/>
    </xf>
    <xf numFmtId="0" fontId="0" fillId="2" borderId="3" xfId="0" applyFill="1" applyBorder="1" applyAlignment="1">
      <alignment horizontal="right"/>
    </xf>
    <xf numFmtId="0" fontId="0" fillId="3" borderId="4" xfId="0" applyFill="1" applyBorder="1" applyAlignment="1">
      <alignment horizontal="center"/>
    </xf>
    <xf numFmtId="1" fontId="0" fillId="2" borderId="2" xfId="0" applyNumberFormat="1" applyFill="1" applyBorder="1" applyAlignment="1">
      <alignment horizontal="center"/>
    </xf>
    <xf numFmtId="9" fontId="0" fillId="0" borderId="1" xfId="0" applyNumberFormat="1" applyBorder="1" applyAlignment="1">
      <alignment horizontal="center"/>
    </xf>
    <xf numFmtId="0" fontId="0" fillId="0" borderId="1" xfId="0" applyBorder="1"/>
    <xf numFmtId="0" fontId="0" fillId="0" borderId="5" xfId="0" applyBorder="1"/>
    <xf numFmtId="0" fontId="6" fillId="0" borderId="1" xfId="3" applyFont="1" applyBorder="1" applyAlignment="1">
      <alignment horizontal="center"/>
    </xf>
    <xf numFmtId="0" fontId="0" fillId="0" borderId="4" xfId="0" applyBorder="1"/>
    <xf numFmtId="0" fontId="0" fillId="0" borderId="6" xfId="0" applyBorder="1"/>
    <xf numFmtId="0" fontId="0" fillId="0" borderId="1" xfId="0" applyBorder="1" applyAlignment="1">
      <alignment horizontal="center"/>
    </xf>
    <xf numFmtId="0" fontId="5" fillId="0" borderId="1" xfId="3" applyBorder="1"/>
    <xf numFmtId="0" fontId="0" fillId="0" borderId="7" xfId="0" applyBorder="1"/>
    <xf numFmtId="0" fontId="0" fillId="0" borderId="8" xfId="0" applyBorder="1"/>
    <xf numFmtId="0" fontId="0" fillId="2" borderId="3" xfId="0" applyFill="1" applyBorder="1" applyAlignment="1">
      <alignment horizontal="right" vertical="center"/>
    </xf>
    <xf numFmtId="9" fontId="0" fillId="0" borderId="1" xfId="0" applyNumberFormat="1" applyBorder="1" applyAlignment="1">
      <alignment horizontal="center" wrapText="1"/>
    </xf>
    <xf numFmtId="0" fontId="0" fillId="2" borderId="1" xfId="0" applyFill="1" applyBorder="1" applyAlignment="1">
      <alignment horizontal="right" vertical="center"/>
    </xf>
    <xf numFmtId="0" fontId="0" fillId="0" borderId="10" xfId="0" applyBorder="1"/>
    <xf numFmtId="0" fontId="0" fillId="0" borderId="9" xfId="0" applyBorder="1"/>
    <xf numFmtId="0" fontId="0" fillId="2" borderId="11" xfId="0" applyFill="1"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center"/>
    </xf>
    <xf numFmtId="0" fontId="0" fillId="2" borderId="15" xfId="0" applyFill="1" applyBorder="1" applyAlignment="1">
      <alignment horizontal="right"/>
    </xf>
    <xf numFmtId="0" fontId="0" fillId="2" borderId="0" xfId="0" applyFill="1" applyAlignment="1">
      <alignment horizontal="right"/>
    </xf>
    <xf numFmtId="0" fontId="0" fillId="0" borderId="15" xfId="0" applyBorder="1"/>
    <xf numFmtId="0" fontId="0" fillId="0" borderId="2" xfId="0" applyBorder="1"/>
    <xf numFmtId="0" fontId="0" fillId="2" borderId="17" xfId="0" applyFill="1" applyBorder="1" applyAlignment="1">
      <alignment horizontal="right"/>
    </xf>
    <xf numFmtId="0" fontId="0" fillId="2" borderId="18" xfId="0" applyFill="1" applyBorder="1" applyAlignment="1">
      <alignment horizontal="right"/>
    </xf>
    <xf numFmtId="0" fontId="0" fillId="2" borderId="19" xfId="0" applyFill="1" applyBorder="1" applyAlignment="1">
      <alignment horizontal="center"/>
    </xf>
    <xf numFmtId="0" fontId="0" fillId="2" borderId="22" xfId="0" applyFill="1" applyBorder="1" applyAlignment="1">
      <alignment horizontal="right" vertical="center"/>
    </xf>
    <xf numFmtId="0" fontId="0" fillId="0" borderId="22" xfId="0" applyBorder="1"/>
    <xf numFmtId="0" fontId="0" fillId="0" borderId="23" xfId="0" applyBorder="1"/>
    <xf numFmtId="0" fontId="0" fillId="3" borderId="0" xfId="0" applyFill="1" applyAlignment="1">
      <alignment horizontal="center"/>
    </xf>
    <xf numFmtId="0" fontId="0" fillId="3" borderId="19" xfId="0" applyFill="1" applyBorder="1" applyAlignment="1">
      <alignment horizontal="center"/>
    </xf>
    <xf numFmtId="0" fontId="0" fillId="4" borderId="0" xfId="0" applyFill="1"/>
    <xf numFmtId="0" fontId="0" fillId="2" borderId="26" xfId="0" applyFill="1" applyBorder="1"/>
    <xf numFmtId="0" fontId="0" fillId="2" borderId="0" xfId="0" applyFill="1"/>
    <xf numFmtId="0" fontId="3" fillId="2" borderId="0" xfId="0" applyFont="1" applyFill="1" applyAlignment="1">
      <alignment horizontal="center" vertical="top"/>
    </xf>
    <xf numFmtId="0" fontId="3" fillId="0" borderId="0" xfId="0" applyFont="1" applyAlignment="1">
      <alignment horizontal="center" wrapText="1"/>
    </xf>
    <xf numFmtId="0" fontId="3" fillId="2" borderId="1" xfId="0" applyFont="1" applyFill="1" applyBorder="1" applyAlignment="1">
      <alignment horizontal="right" vertical="center" wrapText="1"/>
    </xf>
    <xf numFmtId="0" fontId="7" fillId="2" borderId="1" xfId="0" applyFont="1" applyFill="1" applyBorder="1" applyAlignment="1">
      <alignment horizontal="center" vertical="center" wrapText="1"/>
    </xf>
    <xf numFmtId="0" fontId="0" fillId="0" borderId="0" xfId="0" applyAlignment="1">
      <alignment horizontal="center" wrapText="1"/>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8" fillId="2" borderId="1" xfId="0" applyFont="1"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8" xfId="0" applyFill="1" applyBorder="1"/>
    <xf numFmtId="0" fontId="0" fillId="2" borderId="8" xfId="0" applyFill="1" applyBorder="1" applyAlignment="1">
      <alignment horizontal="center"/>
    </xf>
    <xf numFmtId="0" fontId="0" fillId="2" borderId="1" xfId="0" applyFill="1" applyBorder="1"/>
    <xf numFmtId="0" fontId="0" fillId="2" borderId="1"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2" borderId="1" xfId="0" applyFill="1" applyBorder="1" applyAlignment="1">
      <alignment horizontal="center" vertical="center"/>
    </xf>
    <xf numFmtId="0" fontId="9" fillId="2" borderId="2" xfId="0" applyFont="1" applyFill="1" applyBorder="1"/>
    <xf numFmtId="0" fontId="9" fillId="2" borderId="0" xfId="0" applyFont="1" applyFill="1"/>
    <xf numFmtId="0" fontId="9" fillId="2" borderId="0" xfId="0" applyFont="1" applyFill="1" applyAlignment="1">
      <alignment horizontal="center"/>
    </xf>
    <xf numFmtId="0" fontId="9" fillId="2" borderId="9" xfId="0" applyFont="1" applyFill="1" applyBorder="1"/>
    <xf numFmtId="0" fontId="3" fillId="2" borderId="28" xfId="0" applyFont="1" applyFill="1" applyBorder="1" applyAlignment="1">
      <alignment horizontal="center" textRotation="90" wrapText="1"/>
    </xf>
    <xf numFmtId="0" fontId="3" fillId="2" borderId="29" xfId="0" applyFont="1" applyFill="1" applyBorder="1" applyAlignment="1">
      <alignment horizontal="center" vertical="center"/>
    </xf>
    <xf numFmtId="0" fontId="3" fillId="2" borderId="21" xfId="0" applyFont="1" applyFill="1" applyBorder="1" applyAlignment="1">
      <alignment horizontal="center" textRotation="90" wrapText="1"/>
    </xf>
    <xf numFmtId="0" fontId="3" fillId="2" borderId="0" xfId="0" applyFont="1" applyFill="1"/>
    <xf numFmtId="0" fontId="3" fillId="0" borderId="0" xfId="0" applyFont="1"/>
    <xf numFmtId="0" fontId="10"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1" xfId="0" applyFont="1" applyFill="1" applyBorder="1" applyAlignment="1">
      <alignment horizontal="center" textRotation="90" wrapText="1"/>
    </xf>
    <xf numFmtId="0" fontId="3" fillId="2" borderId="26" xfId="0" applyFont="1" applyFill="1" applyBorder="1" applyAlignment="1">
      <alignment horizontal="center" textRotation="90" wrapText="1"/>
    </xf>
    <xf numFmtId="0" fontId="3" fillId="2" borderId="24" xfId="0" applyFont="1" applyFill="1" applyBorder="1" applyAlignment="1">
      <alignment horizontal="center" textRotation="90" wrapText="1"/>
    </xf>
    <xf numFmtId="0" fontId="3" fillId="0" borderId="0" xfId="0" applyFont="1" applyAlignment="1">
      <alignment horizont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Alignment="1">
      <alignment horizontal="center" wrapText="1"/>
    </xf>
    <xf numFmtId="0" fontId="0" fillId="2" borderId="33" xfId="0" applyFill="1" applyBorder="1" applyAlignment="1">
      <alignment horizontal="right" wrapText="1"/>
    </xf>
    <xf numFmtId="0" fontId="0" fillId="2" borderId="34" xfId="0" applyFill="1" applyBorder="1" applyAlignment="1">
      <alignment horizontal="center"/>
    </xf>
    <xf numFmtId="0" fontId="0" fillId="0" borderId="0" xfId="0" applyAlignment="1">
      <alignment horizontal="left"/>
    </xf>
    <xf numFmtId="0" fontId="3" fillId="0" borderId="0" xfId="0" applyFont="1" applyAlignment="1">
      <alignment horizontal="left" vertical="top"/>
    </xf>
    <xf numFmtId="0" fontId="3" fillId="2" borderId="1" xfId="0" applyFont="1" applyFill="1" applyBorder="1" applyAlignment="1">
      <alignment horizontal="center" vertical="center" wrapText="1"/>
    </xf>
    <xf numFmtId="0" fontId="0" fillId="2" borderId="3" xfId="0" applyFill="1" applyBorder="1" applyAlignment="1">
      <alignment horizontal="right" wrapText="1"/>
    </xf>
    <xf numFmtId="0" fontId="0" fillId="2" borderId="3" xfId="0" applyFill="1" applyBorder="1" applyAlignment="1">
      <alignment horizontal="center" vertical="center" wrapText="1"/>
    </xf>
    <xf numFmtId="0" fontId="0" fillId="2" borderId="1" xfId="0" applyFill="1" applyBorder="1" applyAlignment="1">
      <alignment vertical="center" wrapText="1"/>
    </xf>
    <xf numFmtId="0" fontId="3" fillId="0" borderId="0" xfId="0" applyFont="1" applyAlignment="1">
      <alignment wrapText="1"/>
    </xf>
    <xf numFmtId="0" fontId="0" fillId="0" borderId="1" xfId="0" applyBorder="1" applyAlignment="1">
      <alignment horizontal="center" textRotation="90"/>
    </xf>
    <xf numFmtId="0" fontId="0" fillId="2" borderId="1" xfId="0" applyFill="1" applyBorder="1" applyAlignment="1">
      <alignment horizontal="center" textRotation="90" wrapText="1"/>
    </xf>
    <xf numFmtId="0" fontId="0" fillId="5" borderId="0" xfId="0" applyFill="1" applyAlignment="1">
      <alignment horizontal="center" wrapText="1"/>
    </xf>
    <xf numFmtId="0" fontId="0" fillId="2" borderId="1" xfId="0" applyFill="1" applyBorder="1" applyAlignment="1">
      <alignment horizontal="center" textRotation="90"/>
    </xf>
    <xf numFmtId="0" fontId="0" fillId="0" borderId="36" xfId="0" applyBorder="1" applyAlignment="1">
      <alignment horizontal="center" vertical="center" textRotation="90"/>
    </xf>
    <xf numFmtId="0" fontId="0" fillId="0" borderId="36" xfId="0" applyBorder="1" applyAlignment="1">
      <alignment horizontal="center" vertical="center" textRotation="90" wrapText="1"/>
    </xf>
    <xf numFmtId="0" fontId="0" fillId="0" borderId="37" xfId="0" applyBorder="1" applyAlignment="1">
      <alignment horizontal="center" vertical="center" textRotation="90" wrapText="1"/>
    </xf>
    <xf numFmtId="0" fontId="0" fillId="0" borderId="38" xfId="0" applyBorder="1" applyAlignment="1">
      <alignment horizontal="center" vertical="center" textRotation="90" wrapText="1"/>
    </xf>
    <xf numFmtId="0" fontId="0" fillId="5" borderId="0" xfId="0" applyFill="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vertical="center"/>
    </xf>
    <xf numFmtId="0" fontId="0" fillId="2" borderId="2" xfId="0" applyFill="1" applyBorder="1"/>
    <xf numFmtId="0" fontId="0" fillId="2" borderId="0" xfId="0" applyFill="1" applyAlignment="1">
      <alignment vertical="center"/>
    </xf>
    <xf numFmtId="0" fontId="0" fillId="5" borderId="0" xfId="0" applyFill="1" applyAlignment="1">
      <alignment vertical="center"/>
    </xf>
    <xf numFmtId="1" fontId="0" fillId="2" borderId="0" xfId="0" applyNumberFormat="1" applyFill="1" applyAlignment="1">
      <alignment horizontal="center"/>
    </xf>
    <xf numFmtId="2" fontId="0" fillId="0" borderId="1" xfId="0" applyNumberFormat="1" applyBorder="1" applyAlignment="1">
      <alignment horizontal="center"/>
    </xf>
    <xf numFmtId="2" fontId="0" fillId="6" borderId="0" xfId="0" applyNumberFormat="1" applyFill="1"/>
    <xf numFmtId="0" fontId="3" fillId="0" borderId="0" xfId="0" applyFont="1" applyAlignment="1">
      <alignment horizontal="left"/>
    </xf>
    <xf numFmtId="0" fontId="0" fillId="5" borderId="0" xfId="0" applyFill="1"/>
    <xf numFmtId="0" fontId="0" fillId="0" borderId="36" xfId="0" applyBorder="1" applyAlignment="1">
      <alignment horizontal="center" textRotation="90" wrapText="1"/>
    </xf>
    <xf numFmtId="2" fontId="0" fillId="0" borderId="0" xfId="0" applyNumberFormat="1"/>
    <xf numFmtId="0" fontId="0" fillId="2" borderId="0" xfId="0" applyFill="1" applyAlignment="1">
      <alignment horizontal="center" vertical="center"/>
    </xf>
    <xf numFmtId="0" fontId="3" fillId="2" borderId="1" xfId="0" applyFont="1" applyFill="1" applyBorder="1" applyAlignment="1">
      <alignment horizontal="right"/>
    </xf>
    <xf numFmtId="0" fontId="0" fillId="0" borderId="5" xfId="0" applyBorder="1" applyAlignment="1">
      <alignment horizontal="center" vertical="center"/>
    </xf>
    <xf numFmtId="0" fontId="0" fillId="0" borderId="1" xfId="0" applyBorder="1" applyAlignment="1">
      <alignment horizontal="right"/>
    </xf>
    <xf numFmtId="9" fontId="0" fillId="0" borderId="1" xfId="0" applyNumberFormat="1" applyBorder="1"/>
    <xf numFmtId="9" fontId="0" fillId="0" borderId="5" xfId="0" applyNumberFormat="1" applyBorder="1"/>
    <xf numFmtId="0" fontId="3" fillId="0" borderId="39" xfId="0" applyFont="1" applyBorder="1" applyAlignment="1">
      <alignment horizontal="right" wrapText="1"/>
    </xf>
    <xf numFmtId="9" fontId="0" fillId="0" borderId="1" xfId="0" applyNumberFormat="1" applyBorder="1" applyAlignment="1">
      <alignment horizontal="center" vertical="center" wrapText="1"/>
    </xf>
    <xf numFmtId="9" fontId="0" fillId="0" borderId="1" xfId="0" applyNumberFormat="1" applyBorder="1" applyAlignment="1">
      <alignment horizontal="right" wrapText="1"/>
    </xf>
    <xf numFmtId="9" fontId="0" fillId="0" borderId="1" xfId="2" applyFont="1" applyBorder="1" applyAlignment="1">
      <alignment horizontal="center"/>
    </xf>
    <xf numFmtId="0" fontId="0" fillId="0" borderId="6" xfId="0" applyBorder="1" applyAlignment="1">
      <alignment horizontal="center"/>
    </xf>
    <xf numFmtId="9" fontId="0" fillId="0" borderId="6" xfId="0" applyNumberFormat="1" applyBorder="1"/>
    <xf numFmtId="9" fontId="0" fillId="0" borderId="0" xfId="0" applyNumberFormat="1"/>
    <xf numFmtId="0" fontId="3" fillId="4" borderId="0" xfId="0" applyFont="1" applyFill="1"/>
    <xf numFmtId="0" fontId="3" fillId="4" borderId="6" xfId="0" applyFont="1" applyFill="1" applyBorder="1"/>
    <xf numFmtId="0" fontId="3" fillId="0" borderId="40" xfId="0" applyFont="1" applyBorder="1"/>
    <xf numFmtId="1" fontId="3" fillId="0" borderId="0" xfId="0" applyNumberFormat="1" applyFont="1" applyAlignment="1">
      <alignment horizontal="center"/>
    </xf>
    <xf numFmtId="0" fontId="3" fillId="2" borderId="15" xfId="0" applyFont="1" applyFill="1" applyBorder="1" applyAlignment="1">
      <alignment horizontal="left"/>
    </xf>
    <xf numFmtId="0" fontId="0" fillId="2" borderId="5" xfId="0" applyFill="1" applyBorder="1"/>
    <xf numFmtId="9" fontId="3" fillId="2" borderId="2" xfId="2" applyFont="1" applyFill="1" applyBorder="1" applyAlignment="1">
      <alignment horizontal="center"/>
    </xf>
    <xf numFmtId="9" fontId="3" fillId="2" borderId="9" xfId="2" applyFont="1" applyFill="1" applyBorder="1" applyAlignment="1">
      <alignment horizontal="center"/>
    </xf>
    <xf numFmtId="9" fontId="3" fillId="2" borderId="10" xfId="2" applyFont="1" applyFill="1" applyBorder="1" applyAlignment="1">
      <alignment horizontal="center"/>
    </xf>
    <xf numFmtId="0" fontId="3" fillId="0" borderId="41" xfId="0" applyFont="1" applyBorder="1"/>
    <xf numFmtId="1" fontId="3" fillId="0" borderId="42" xfId="0" applyNumberFormat="1" applyFont="1" applyBorder="1" applyAlignment="1">
      <alignment horizontal="center"/>
    </xf>
    <xf numFmtId="0" fontId="3" fillId="2" borderId="42" xfId="0" applyFont="1" applyFill="1" applyBorder="1" applyAlignment="1">
      <alignment horizontal="right"/>
    </xf>
    <xf numFmtId="0" fontId="3" fillId="2" borderId="42" xfId="0" applyFont="1" applyFill="1" applyBorder="1" applyAlignment="1">
      <alignment horizontal="center"/>
    </xf>
    <xf numFmtId="0" fontId="0" fillId="2" borderId="5" xfId="0" quotePrefix="1" applyFill="1" applyBorder="1"/>
    <xf numFmtId="1" fontId="0" fillId="2" borderId="1" xfId="0" applyNumberFormat="1" applyFill="1" applyBorder="1" applyAlignment="1">
      <alignment horizontal="center"/>
    </xf>
    <xf numFmtId="0" fontId="0" fillId="0" borderId="43" xfId="0" applyBorder="1" applyAlignment="1">
      <alignment horizontal="center"/>
    </xf>
    <xf numFmtId="1" fontId="0" fillId="0" borderId="1" xfId="0" applyNumberFormat="1" applyBorder="1" applyAlignment="1">
      <alignment horizontal="center"/>
    </xf>
    <xf numFmtId="0" fontId="3" fillId="2" borderId="0" xfId="0" applyFont="1" applyFill="1" applyAlignment="1">
      <alignment vertical="center"/>
    </xf>
    <xf numFmtId="0" fontId="3" fillId="2" borderId="0" xfId="0" applyFont="1" applyFill="1" applyAlignment="1">
      <alignment textRotation="90" wrapText="1"/>
    </xf>
    <xf numFmtId="0" fontId="3" fillId="2" borderId="0" xfId="0" applyFont="1" applyFill="1" applyAlignment="1">
      <alignment wrapText="1"/>
    </xf>
    <xf numFmtId="0" fontId="3" fillId="2" borderId="5" xfId="0" applyFont="1" applyFill="1" applyBorder="1"/>
    <xf numFmtId="0" fontId="3" fillId="2" borderId="8" xfId="0" applyFont="1" applyFill="1" applyBorder="1" applyAlignment="1">
      <alignment wrapText="1"/>
    </xf>
    <xf numFmtId="0" fontId="3" fillId="2" borderId="44" xfId="0" applyFont="1" applyFill="1" applyBorder="1" applyAlignment="1">
      <alignment wrapText="1"/>
    </xf>
    <xf numFmtId="0" fontId="3" fillId="2" borderId="43" xfId="0" applyFont="1" applyFill="1" applyBorder="1"/>
    <xf numFmtId="1" fontId="3" fillId="2" borderId="1" xfId="0" applyNumberFormat="1" applyFont="1" applyFill="1" applyBorder="1" applyAlignment="1">
      <alignment horizontal="center"/>
    </xf>
    <xf numFmtId="0" fontId="3" fillId="2" borderId="0" xfId="0" applyFont="1" applyFill="1" applyAlignment="1">
      <alignment horizontal="left" vertical="top"/>
    </xf>
    <xf numFmtId="0" fontId="3" fillId="2" borderId="8" xfId="0" applyFont="1" applyFill="1" applyBorder="1"/>
    <xf numFmtId="0" fontId="3" fillId="2" borderId="2" xfId="0" applyFont="1" applyFill="1" applyBorder="1" applyAlignment="1">
      <alignment wrapText="1"/>
    </xf>
    <xf numFmtId="0" fontId="3" fillId="2" borderId="9" xfId="0" applyFont="1" applyFill="1" applyBorder="1" applyAlignment="1">
      <alignment wrapText="1"/>
    </xf>
    <xf numFmtId="0" fontId="3" fillId="2" borderId="45" xfId="0" applyFont="1" applyFill="1" applyBorder="1" applyAlignment="1">
      <alignment wrapText="1"/>
    </xf>
    <xf numFmtId="0" fontId="3" fillId="2" borderId="43" xfId="0" applyFont="1" applyFill="1" applyBorder="1" applyAlignment="1">
      <alignment wrapText="1"/>
    </xf>
    <xf numFmtId="0" fontId="3" fillId="2" borderId="1" xfId="0" applyFont="1" applyFill="1" applyBorder="1"/>
    <xf numFmtId="0" fontId="3" fillId="2" borderId="41" xfId="0" applyFont="1" applyFill="1" applyBorder="1" applyAlignment="1">
      <alignment horizontal="left" vertical="center"/>
    </xf>
    <xf numFmtId="0" fontId="3" fillId="2" borderId="29" xfId="0" applyFont="1" applyFill="1" applyBorder="1" applyAlignment="1">
      <alignment horizontal="center" vertical="center" wrapText="1"/>
    </xf>
    <xf numFmtId="0" fontId="3" fillId="2" borderId="3" xfId="0" applyFont="1" applyFill="1" applyBorder="1" applyAlignment="1">
      <alignment horizontal="center" wrapText="1"/>
    </xf>
    <xf numFmtId="0" fontId="3" fillId="2" borderId="46" xfId="0" applyFont="1" applyFill="1" applyBorder="1" applyAlignment="1">
      <alignment horizontal="center" wrapText="1"/>
    </xf>
    <xf numFmtId="0" fontId="3" fillId="2" borderId="47" xfId="0" applyFont="1" applyFill="1" applyBorder="1" applyAlignment="1">
      <alignment horizontal="center" wrapText="1"/>
    </xf>
    <xf numFmtId="0" fontId="3" fillId="2" borderId="48" xfId="0" applyFont="1" applyFill="1" applyBorder="1" applyAlignment="1">
      <alignment horizontal="center" wrapText="1"/>
    </xf>
    <xf numFmtId="0" fontId="3" fillId="2" borderId="49" xfId="0" applyFont="1" applyFill="1" applyBorder="1" applyAlignment="1">
      <alignment horizontal="center" wrapText="1"/>
    </xf>
    <xf numFmtId="0" fontId="3" fillId="2" borderId="50" xfId="0" applyFont="1" applyFill="1" applyBorder="1" applyAlignment="1">
      <alignment horizontal="center" wrapText="1"/>
    </xf>
    <xf numFmtId="1" fontId="3" fillId="2" borderId="48" xfId="0" applyNumberFormat="1" applyFont="1" applyFill="1" applyBorder="1" applyAlignment="1">
      <alignment horizontal="center" wrapText="1"/>
    </xf>
    <xf numFmtId="1" fontId="3" fillId="2" borderId="48" xfId="0" applyNumberFormat="1" applyFont="1" applyFill="1" applyBorder="1" applyAlignment="1">
      <alignment horizontal="right" wrapText="1"/>
    </xf>
    <xf numFmtId="0" fontId="3" fillId="2" borderId="48" xfId="0" applyFont="1" applyFill="1" applyBorder="1" applyAlignment="1">
      <alignment horizontal="center"/>
    </xf>
    <xf numFmtId="0" fontId="0" fillId="2" borderId="43" xfId="0" applyFill="1" applyBorder="1" applyAlignment="1">
      <alignment horizontal="center"/>
    </xf>
    <xf numFmtId="0" fontId="0" fillId="2" borderId="22" xfId="0" applyFill="1" applyBorder="1" applyAlignment="1">
      <alignment horizontal="center"/>
    </xf>
    <xf numFmtId="1" fontId="0" fillId="2" borderId="22" xfId="0" applyNumberFormat="1" applyFill="1" applyBorder="1" applyAlignment="1">
      <alignment horizontal="center"/>
    </xf>
    <xf numFmtId="0" fontId="0" fillId="2" borderId="22" xfId="0" applyFill="1" applyBorder="1" applyAlignment="1">
      <alignment horizontal="center" vertical="center"/>
    </xf>
    <xf numFmtId="0" fontId="0" fillId="0" borderId="22" xfId="0" applyBorder="1" applyAlignment="1">
      <alignment horizontal="center"/>
    </xf>
    <xf numFmtId="0" fontId="0" fillId="3" borderId="29" xfId="0" applyFill="1" applyBorder="1" applyAlignment="1">
      <alignment horizontal="center"/>
    </xf>
    <xf numFmtId="165" fontId="0" fillId="0" borderId="0" xfId="0" applyNumberFormat="1"/>
    <xf numFmtId="0" fontId="0" fillId="2" borderId="29" xfId="0" applyFill="1" applyBorder="1" applyAlignment="1">
      <alignment horizontal="center" textRotation="90" wrapText="1"/>
    </xf>
    <xf numFmtId="0" fontId="0" fillId="2" borderId="26" xfId="0" applyFill="1" applyBorder="1" applyAlignment="1">
      <alignment horizontal="center" textRotation="90" wrapText="1"/>
    </xf>
    <xf numFmtId="0" fontId="0" fillId="2" borderId="3" xfId="0" applyFill="1" applyBorder="1" applyAlignment="1">
      <alignment horizontal="center" textRotation="90"/>
    </xf>
    <xf numFmtId="0" fontId="3" fillId="0" borderId="2" xfId="0" applyFont="1" applyBorder="1"/>
    <xf numFmtId="0" fontId="3" fillId="2" borderId="7" xfId="0" applyFont="1" applyFill="1" applyBorder="1"/>
    <xf numFmtId="0" fontId="0" fillId="2" borderId="11" xfId="0" applyFill="1" applyBorder="1" applyAlignment="1">
      <alignment horizontal="center"/>
    </xf>
    <xf numFmtId="0" fontId="3" fillId="2" borderId="12" xfId="0" applyFont="1" applyFill="1" applyBorder="1"/>
    <xf numFmtId="0" fontId="3" fillId="2" borderId="14" xfId="0" applyFont="1" applyFill="1" applyBorder="1"/>
    <xf numFmtId="0" fontId="4" fillId="2" borderId="0" xfId="0" applyFont="1" applyFill="1" applyAlignment="1">
      <alignment horizontal="center"/>
    </xf>
    <xf numFmtId="0" fontId="3" fillId="2" borderId="3" xfId="0" applyFont="1" applyFill="1" applyBorder="1" applyAlignment="1">
      <alignment horizontal="center" textRotation="90"/>
    </xf>
    <xf numFmtId="0" fontId="0" fillId="2" borderId="22" xfId="0" applyFill="1" applyBorder="1" applyAlignment="1">
      <alignment horizontal="center" vertical="center" wrapText="1"/>
    </xf>
    <xf numFmtId="0" fontId="0" fillId="2" borderId="0" xfId="0" applyFill="1" applyAlignment="1">
      <alignment horizontal="center" textRotation="90"/>
    </xf>
    <xf numFmtId="0" fontId="3" fillId="2" borderId="43" xfId="0" applyFont="1" applyFill="1" applyBorder="1" applyAlignment="1">
      <alignment horizontal="center" textRotation="90"/>
    </xf>
    <xf numFmtId="0" fontId="3" fillId="2" borderId="2" xfId="0" applyFont="1" applyFill="1" applyBorder="1" applyAlignment="1">
      <alignment horizontal="center" textRotation="90" wrapText="1"/>
    </xf>
    <xf numFmtId="0" fontId="3" fillId="2" borderId="1" xfId="0" applyFont="1" applyFill="1" applyBorder="1" applyAlignment="1">
      <alignment horizontal="center" textRotation="90" wrapText="1"/>
    </xf>
    <xf numFmtId="0" fontId="3" fillId="2" borderId="16" xfId="0" applyFont="1" applyFill="1" applyBorder="1" applyAlignment="1">
      <alignment horizontal="center" wrapText="1"/>
    </xf>
    <xf numFmtId="0" fontId="0" fillId="2" borderId="41" xfId="0" applyFill="1" applyBorder="1" applyAlignment="1">
      <alignment horizontal="right" vertical="center"/>
    </xf>
    <xf numFmtId="0" fontId="0" fillId="2" borderId="42" xfId="0" applyFill="1" applyBorder="1" applyAlignment="1">
      <alignment horizontal="center" vertical="center"/>
    </xf>
    <xf numFmtId="0" fontId="0" fillId="2" borderId="42" xfId="0" applyFill="1" applyBorder="1"/>
    <xf numFmtId="0" fontId="0" fillId="2" borderId="21" xfId="0" applyFill="1" applyBorder="1" applyAlignment="1">
      <alignment vertical="center"/>
    </xf>
    <xf numFmtId="0" fontId="0" fillId="2" borderId="45" xfId="0" applyFill="1" applyBorder="1" applyAlignment="1">
      <alignment horizontal="center"/>
    </xf>
    <xf numFmtId="0" fontId="0" fillId="2" borderId="43" xfId="0" applyFill="1" applyBorder="1" applyAlignment="1">
      <alignment horizontal="right" vertical="center"/>
    </xf>
    <xf numFmtId="0" fontId="0" fillId="2" borderId="51" xfId="0" applyFill="1" applyBorder="1" applyAlignment="1">
      <alignment vertical="center" textRotation="90"/>
    </xf>
    <xf numFmtId="0" fontId="0" fillId="2" borderId="52" xfId="0" applyFill="1" applyBorder="1" applyAlignment="1">
      <alignment vertical="center" textRotation="90"/>
    </xf>
    <xf numFmtId="0" fontId="0" fillId="2" borderId="24" xfId="0" applyFill="1" applyBorder="1" applyAlignment="1">
      <alignment vertical="center" textRotation="90"/>
    </xf>
    <xf numFmtId="0" fontId="0" fillId="2" borderId="24" xfId="0" applyFill="1" applyBorder="1" applyAlignment="1">
      <alignment vertical="center"/>
    </xf>
    <xf numFmtId="0" fontId="0" fillId="2" borderId="50" xfId="0" applyFill="1" applyBorder="1" applyAlignment="1">
      <alignment horizontal="center" vertical="center"/>
    </xf>
    <xf numFmtId="0" fontId="0" fillId="2" borderId="48" xfId="0" applyFill="1" applyBorder="1" applyAlignment="1">
      <alignment horizontal="center" vertical="center"/>
    </xf>
    <xf numFmtId="0" fontId="0" fillId="2" borderId="48" xfId="0" applyFill="1" applyBorder="1"/>
    <xf numFmtId="0" fontId="0" fillId="2" borderId="25" xfId="0" applyFill="1" applyBorder="1" applyAlignment="1">
      <alignment vertical="center" textRotation="90"/>
    </xf>
    <xf numFmtId="0" fontId="3" fillId="7" borderId="7" xfId="0" applyFont="1" applyFill="1" applyBorder="1" applyAlignment="1">
      <alignment horizontal="left"/>
    </xf>
    <xf numFmtId="0" fontId="3" fillId="7" borderId="8" xfId="0" applyFont="1" applyFill="1" applyBorder="1" applyAlignment="1">
      <alignment horizontal="right"/>
    </xf>
    <xf numFmtId="0" fontId="0" fillId="7" borderId="1" xfId="0" applyFill="1" applyBorder="1" applyAlignment="1">
      <alignment horizontal="center"/>
    </xf>
    <xf numFmtId="0" fontId="3" fillId="7" borderId="0" xfId="0" applyFont="1" applyFill="1"/>
    <xf numFmtId="0" fontId="3" fillId="8" borderId="2" xfId="0" applyFont="1" applyFill="1" applyBorder="1" applyAlignment="1">
      <alignment horizontal="left"/>
    </xf>
    <xf numFmtId="0" fontId="3" fillId="8" borderId="9" xfId="0" applyFont="1" applyFill="1" applyBorder="1" applyAlignment="1">
      <alignment horizontal="center"/>
    </xf>
    <xf numFmtId="0" fontId="3" fillId="9" borderId="8" xfId="0" applyFont="1" applyFill="1" applyBorder="1"/>
    <xf numFmtId="0" fontId="3" fillId="10" borderId="8" xfId="0" applyFont="1" applyFill="1" applyBorder="1"/>
    <xf numFmtId="0" fontId="3" fillId="0" borderId="0" xfId="0" applyFont="1" applyAlignment="1">
      <alignment horizontal="center" vertical="center"/>
    </xf>
    <xf numFmtId="0" fontId="3" fillId="7" borderId="3" xfId="0" applyFont="1" applyFill="1" applyBorder="1" applyAlignment="1">
      <alignment horizontal="center" textRotation="90"/>
    </xf>
    <xf numFmtId="0" fontId="3" fillId="7" borderId="3" xfId="0" applyFont="1" applyFill="1" applyBorder="1" applyAlignment="1">
      <alignment horizontal="center" vertical="center" wrapText="1"/>
    </xf>
    <xf numFmtId="0" fontId="3" fillId="7" borderId="1" xfId="0" applyFont="1" applyFill="1" applyBorder="1" applyAlignment="1">
      <alignment horizontal="right" vertical="center" wrapText="1"/>
    </xf>
    <xf numFmtId="0" fontId="0" fillId="7" borderId="1" xfId="0" applyFill="1" applyBorder="1" applyAlignment="1">
      <alignment horizontal="center" wrapText="1"/>
    </xf>
    <xf numFmtId="0" fontId="3" fillId="7" borderId="32" xfId="0" applyFont="1" applyFill="1" applyBorder="1" applyAlignment="1">
      <alignment horizontal="center" vertical="top" textRotation="90" wrapText="1"/>
    </xf>
    <xf numFmtId="0" fontId="3" fillId="7" borderId="1" xfId="0" applyFont="1" applyFill="1" applyBorder="1" applyAlignment="1">
      <alignment horizontal="center" textRotation="90" wrapText="1"/>
    </xf>
    <xf numFmtId="0" fontId="3" fillId="8" borderId="26" xfId="0" applyFont="1" applyFill="1" applyBorder="1" applyAlignment="1">
      <alignment horizontal="center" textRotation="90" wrapText="1"/>
    </xf>
    <xf numFmtId="0" fontId="3" fillId="9" borderId="1" xfId="0" applyFont="1" applyFill="1" applyBorder="1" applyAlignment="1">
      <alignment horizontal="center" vertical="center" wrapText="1"/>
    </xf>
    <xf numFmtId="166" fontId="3" fillId="9" borderId="1" xfId="1" applyNumberFormat="1" applyFont="1" applyFill="1" applyBorder="1" applyAlignment="1">
      <alignment wrapText="1"/>
    </xf>
    <xf numFmtId="0" fontId="3" fillId="10" borderId="3" xfId="0" applyFont="1" applyFill="1" applyBorder="1" applyAlignment="1">
      <alignment horizontal="center" textRotation="90" wrapText="1"/>
    </xf>
    <xf numFmtId="0" fontId="3" fillId="10" borderId="3" xfId="0" applyFont="1" applyFill="1" applyBorder="1" applyAlignment="1">
      <alignment horizontal="right" vertical="center" wrapText="1"/>
    </xf>
    <xf numFmtId="0" fontId="3" fillId="10"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3" fillId="7" borderId="26" xfId="0" applyFont="1" applyFill="1" applyBorder="1" applyAlignment="1">
      <alignment horizontal="center" textRotation="90"/>
    </xf>
    <xf numFmtId="0" fontId="3" fillId="7" borderId="26"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166" fontId="3" fillId="9" borderId="1" xfId="1" applyNumberFormat="1" applyFont="1" applyFill="1" applyBorder="1" applyAlignment="1">
      <alignment horizontal="center" wrapText="1"/>
    </xf>
    <xf numFmtId="0" fontId="3" fillId="10" borderId="26" xfId="0" applyFont="1" applyFill="1" applyBorder="1" applyAlignment="1">
      <alignment horizontal="center" textRotation="90" wrapText="1"/>
    </xf>
    <xf numFmtId="0" fontId="3" fillId="10" borderId="26" xfId="0" applyFont="1" applyFill="1" applyBorder="1" applyAlignment="1">
      <alignment vertical="center" wrapText="1"/>
    </xf>
    <xf numFmtId="0" fontId="3" fillId="10" borderId="1" xfId="0" applyFont="1" applyFill="1" applyBorder="1" applyAlignment="1">
      <alignment horizontal="center" vertical="center"/>
    </xf>
    <xf numFmtId="0" fontId="3" fillId="2" borderId="0" xfId="0" applyFont="1" applyFill="1" applyAlignment="1">
      <alignment horizontal="center" vertical="center"/>
    </xf>
    <xf numFmtId="0" fontId="3" fillId="7" borderId="22" xfId="0" applyFont="1" applyFill="1" applyBorder="1" applyAlignment="1">
      <alignment horizontal="center" vertical="center" wrapText="1"/>
    </xf>
    <xf numFmtId="0" fontId="3" fillId="7" borderId="22" xfId="0" applyFont="1" applyFill="1" applyBorder="1" applyAlignment="1">
      <alignment horizontal="center" textRotation="90" wrapText="1"/>
    </xf>
    <xf numFmtId="165" fontId="0" fillId="8" borderId="1" xfId="0" applyNumberFormat="1" applyFill="1" applyBorder="1"/>
    <xf numFmtId="167" fontId="3" fillId="9" borderId="1" xfId="1" applyNumberFormat="1" applyFont="1" applyFill="1" applyBorder="1" applyAlignment="1">
      <alignment horizontal="center" wrapText="1"/>
    </xf>
    <xf numFmtId="0" fontId="3" fillId="10" borderId="22" xfId="0" applyFont="1" applyFill="1" applyBorder="1" applyAlignment="1">
      <alignment horizontal="center" textRotation="90" wrapText="1"/>
    </xf>
    <xf numFmtId="0" fontId="3" fillId="10" borderId="22" xfId="0" applyFont="1" applyFill="1" applyBorder="1" applyAlignment="1">
      <alignment horizontal="center" vertical="center" wrapText="1"/>
    </xf>
    <xf numFmtId="0" fontId="0" fillId="7" borderId="37" xfId="0" applyFill="1" applyBorder="1"/>
    <xf numFmtId="166" fontId="0" fillId="7" borderId="1" xfId="1" applyNumberFormat="1" applyFont="1" applyFill="1" applyBorder="1"/>
    <xf numFmtId="0" fontId="0" fillId="7" borderId="3" xfId="0" applyFill="1" applyBorder="1" applyAlignment="1">
      <alignment horizontal="center"/>
    </xf>
    <xf numFmtId="1" fontId="0" fillId="7" borderId="1" xfId="2" applyNumberFormat="1" applyFont="1" applyFill="1" applyBorder="1" applyAlignment="1">
      <alignment horizontal="center"/>
    </xf>
    <xf numFmtId="0" fontId="0" fillId="7" borderId="1" xfId="0" applyFill="1" applyBorder="1"/>
    <xf numFmtId="165" fontId="0" fillId="7" borderId="1" xfId="2" applyNumberFormat="1" applyFont="1" applyFill="1" applyBorder="1" applyAlignment="1">
      <alignment horizontal="center"/>
    </xf>
    <xf numFmtId="1" fontId="0" fillId="8" borderId="1" xfId="2" applyNumberFormat="1" applyFont="1" applyFill="1" applyBorder="1" applyAlignment="1">
      <alignment horizontal="center"/>
    </xf>
    <xf numFmtId="0" fontId="0" fillId="8" borderId="1" xfId="0" applyFill="1" applyBorder="1" applyAlignment="1">
      <alignment horizontal="center"/>
    </xf>
    <xf numFmtId="166" fontId="0" fillId="8" borderId="1" xfId="1" applyNumberFormat="1" applyFont="1" applyFill="1" applyBorder="1"/>
    <xf numFmtId="165" fontId="0" fillId="8" borderId="1" xfId="2" applyNumberFormat="1" applyFont="1" applyFill="1" applyBorder="1"/>
    <xf numFmtId="9" fontId="0" fillId="8" borderId="1" xfId="2" applyFont="1" applyFill="1" applyBorder="1"/>
    <xf numFmtId="0" fontId="0" fillId="9" borderId="1" xfId="0" applyFill="1" applyBorder="1" applyAlignment="1">
      <alignment horizontal="center"/>
    </xf>
    <xf numFmtId="0" fontId="0" fillId="9" borderId="37" xfId="0" applyFill="1" applyBorder="1" applyAlignment="1">
      <alignment horizontal="center"/>
    </xf>
    <xf numFmtId="166" fontId="0" fillId="9" borderId="1" xfId="1" applyNumberFormat="1" applyFont="1" applyFill="1" applyBorder="1"/>
    <xf numFmtId="0" fontId="0" fillId="10" borderId="1" xfId="0" applyFill="1" applyBorder="1" applyAlignment="1">
      <alignment horizontal="center"/>
    </xf>
    <xf numFmtId="166" fontId="0" fillId="10" borderId="1" xfId="1" applyNumberFormat="1" applyFont="1" applyFill="1" applyBorder="1"/>
    <xf numFmtId="167" fontId="0" fillId="10" borderId="1" xfId="1" applyNumberFormat="1" applyFont="1" applyFill="1" applyBorder="1" applyAlignment="1">
      <alignment horizontal="center" vertical="center"/>
    </xf>
    <xf numFmtId="166" fontId="0" fillId="0" borderId="0" xfId="1" applyNumberFormat="1" applyFont="1" applyFill="1"/>
    <xf numFmtId="0" fontId="3" fillId="11" borderId="8" xfId="0" applyFont="1" applyFill="1" applyBorder="1" applyAlignment="1">
      <alignment horizontal="left"/>
    </xf>
    <xf numFmtId="0" fontId="3" fillId="9" borderId="8" xfId="0" applyFont="1" applyFill="1" applyBorder="1" applyAlignment="1">
      <alignment horizontal="right"/>
    </xf>
    <xf numFmtId="0" fontId="3" fillId="10" borderId="8" xfId="0" applyFont="1" applyFill="1" applyBorder="1" applyAlignment="1">
      <alignment horizontal="right"/>
    </xf>
    <xf numFmtId="0" fontId="3" fillId="11" borderId="26" xfId="0" applyFont="1" applyFill="1" applyBorder="1" applyAlignment="1">
      <alignment horizontal="center" textRotation="90"/>
    </xf>
    <xf numFmtId="0" fontId="3" fillId="9" borderId="26" xfId="0" applyFont="1" applyFill="1" applyBorder="1" applyAlignment="1">
      <alignment horizontal="center"/>
    </xf>
    <xf numFmtId="0" fontId="3" fillId="10" borderId="26" xfId="0" applyFont="1" applyFill="1" applyBorder="1" applyAlignment="1">
      <alignment horizontal="center"/>
    </xf>
    <xf numFmtId="0" fontId="3" fillId="11" borderId="3" xfId="0" applyFont="1" applyFill="1" applyBorder="1" applyAlignment="1">
      <alignment horizontal="center" textRotation="90"/>
    </xf>
    <xf numFmtId="0" fontId="3" fillId="9" borderId="3" xfId="0" applyFont="1" applyFill="1" applyBorder="1" applyAlignment="1">
      <alignment horizontal="center" textRotation="90"/>
    </xf>
    <xf numFmtId="0" fontId="3" fillId="10" borderId="3" xfId="0" applyFont="1" applyFill="1" applyBorder="1" applyAlignment="1">
      <alignment horizontal="center" textRotation="90"/>
    </xf>
    <xf numFmtId="0" fontId="0" fillId="11" borderId="1" xfId="0" applyFill="1" applyBorder="1" applyAlignment="1">
      <alignment horizontal="center"/>
    </xf>
    <xf numFmtId="165" fontId="0" fillId="9" borderId="1" xfId="0" applyNumberFormat="1" applyFill="1" applyBorder="1" applyAlignment="1">
      <alignment horizontal="center"/>
    </xf>
    <xf numFmtId="165" fontId="3" fillId="9" borderId="1" xfId="0" applyNumberFormat="1" applyFont="1" applyFill="1" applyBorder="1" applyAlignment="1">
      <alignment horizontal="center"/>
    </xf>
    <xf numFmtId="165" fontId="0" fillId="10" borderId="1" xfId="0" applyNumberFormat="1" applyFill="1" applyBorder="1" applyAlignment="1">
      <alignment horizontal="center"/>
    </xf>
    <xf numFmtId="165" fontId="3" fillId="10" borderId="1" xfId="0" applyNumberFormat="1" applyFont="1" applyFill="1" applyBorder="1" applyAlignment="1">
      <alignment horizontal="center"/>
    </xf>
    <xf numFmtId="0" fontId="0" fillId="12" borderId="0" xfId="0" applyFill="1"/>
    <xf numFmtId="0" fontId="0" fillId="12" borderId="0" xfId="0" applyFill="1" applyAlignment="1">
      <alignment wrapText="1"/>
    </xf>
    <xf numFmtId="0" fontId="3" fillId="12" borderId="0" xfId="0" applyFont="1" applyFill="1"/>
    <xf numFmtId="0" fontId="0" fillId="4" borderId="0" xfId="0" applyFill="1" applyAlignment="1">
      <alignment horizontal="left"/>
    </xf>
    <xf numFmtId="0" fontId="11" fillId="2" borderId="1" xfId="0" applyFont="1" applyFill="1" applyBorder="1" applyAlignment="1">
      <alignment horizontal="center" vertical="center" textRotation="90"/>
    </xf>
    <xf numFmtId="0" fontId="12" fillId="2" borderId="3" xfId="0" applyFont="1" applyFill="1" applyBorder="1" applyAlignment="1">
      <alignment horizontal="center" vertical="center" wrapText="1"/>
    </xf>
    <xf numFmtId="0" fontId="0" fillId="10" borderId="0" xfId="0" applyFill="1"/>
    <xf numFmtId="0" fontId="13" fillId="2" borderId="1" xfId="0" applyFont="1" applyFill="1" applyBorder="1" applyAlignment="1">
      <alignment vertical="center" wrapText="1"/>
    </xf>
    <xf numFmtId="0" fontId="0" fillId="2" borderId="1" xfId="0" applyFill="1" applyBorder="1" applyAlignment="1">
      <alignment vertical="center"/>
    </xf>
    <xf numFmtId="0" fontId="13" fillId="0" borderId="1" xfId="0" applyFont="1"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left" vertical="center"/>
    </xf>
    <xf numFmtId="0" fontId="3" fillId="2" borderId="1" xfId="0" applyFont="1" applyFill="1" applyBorder="1" applyAlignment="1">
      <alignment horizontal="center" vertical="center" textRotation="90"/>
    </xf>
    <xf numFmtId="0" fontId="3" fillId="0" borderId="1" xfId="0" applyFont="1" applyBorder="1" applyAlignment="1">
      <alignment horizontal="center" vertical="center" wrapText="1"/>
    </xf>
    <xf numFmtId="0" fontId="13" fillId="2" borderId="1" xfId="0" applyFont="1" applyFill="1" applyBorder="1" applyAlignment="1">
      <alignment horizontal="center" vertical="center" wrapText="1"/>
    </xf>
    <xf numFmtId="0" fontId="0" fillId="2" borderId="0" xfId="0" applyFill="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center" wrapText="1"/>
    </xf>
    <xf numFmtId="0" fontId="4" fillId="0" borderId="1" xfId="0" applyFont="1" applyBorder="1"/>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0" fillId="2" borderId="44" xfId="0" applyFill="1" applyBorder="1"/>
    <xf numFmtId="0" fontId="3" fillId="2" borderId="54" xfId="0" applyFont="1" applyFill="1" applyBorder="1"/>
    <xf numFmtId="0" fontId="0" fillId="2" borderId="3" xfId="0" applyFill="1" applyBorder="1" applyAlignment="1">
      <alignment horizontal="center"/>
    </xf>
    <xf numFmtId="0" fontId="0" fillId="2" borderId="55" xfId="0" applyFill="1" applyBorder="1"/>
    <xf numFmtId="0" fontId="0" fillId="2" borderId="56" xfId="0" applyFill="1" applyBorder="1"/>
    <xf numFmtId="0" fontId="3" fillId="2" borderId="55" xfId="0" applyFont="1" applyFill="1" applyBorder="1"/>
    <xf numFmtId="0" fontId="0" fillId="2" borderId="57" xfId="0" applyFill="1" applyBorder="1" applyAlignment="1">
      <alignment horizontal="center" vertical="top"/>
    </xf>
    <xf numFmtId="0" fontId="0" fillId="12" borderId="60" xfId="0" applyFill="1" applyBorder="1"/>
    <xf numFmtId="0" fontId="0" fillId="2" borderId="11" xfId="0" applyFill="1" applyBorder="1"/>
    <xf numFmtId="0" fontId="0" fillId="2" borderId="12" xfId="0" applyFill="1" applyBorder="1"/>
    <xf numFmtId="0" fontId="0" fillId="2" borderId="14" xfId="0" applyFill="1" applyBorder="1"/>
    <xf numFmtId="0" fontId="7" fillId="12" borderId="48" xfId="0" applyFont="1" applyFill="1" applyBorder="1" applyAlignment="1">
      <alignment horizontal="center"/>
    </xf>
    <xf numFmtId="0" fontId="0" fillId="2" borderId="18" xfId="0" applyFill="1" applyBorder="1"/>
    <xf numFmtId="0" fontId="3" fillId="2" borderId="41" xfId="0" applyFont="1" applyFill="1" applyBorder="1" applyAlignment="1">
      <alignment horizontal="right"/>
    </xf>
    <xf numFmtId="0" fontId="0" fillId="2" borderId="42" xfId="0" applyFill="1" applyBorder="1" applyAlignment="1">
      <alignment horizontal="center"/>
    </xf>
    <xf numFmtId="0" fontId="3" fillId="2" borderId="42" xfId="0" applyFont="1" applyFill="1" applyBorder="1"/>
    <xf numFmtId="0" fontId="0" fillId="2" borderId="7" xfId="0" applyFill="1" applyBorder="1" applyAlignment="1">
      <alignment horizontal="center"/>
    </xf>
    <xf numFmtId="0" fontId="3" fillId="2" borderId="1" xfId="0" applyFont="1" applyFill="1" applyBorder="1" applyAlignment="1">
      <alignment horizontal="left"/>
    </xf>
    <xf numFmtId="0" fontId="0" fillId="12" borderId="22" xfId="0" applyFill="1" applyBorder="1" applyAlignment="1">
      <alignment horizontal="left"/>
    </xf>
    <xf numFmtId="0" fontId="3" fillId="2" borderId="9" xfId="0" applyFont="1" applyFill="1" applyBorder="1" applyAlignment="1">
      <alignment horizontal="right"/>
    </xf>
    <xf numFmtId="0" fontId="3" fillId="2" borderId="2" xfId="0" applyFont="1" applyFill="1" applyBorder="1" applyAlignment="1">
      <alignment horizontal="left"/>
    </xf>
    <xf numFmtId="0" fontId="0" fillId="2" borderId="2" xfId="0" applyFill="1" applyBorder="1" applyAlignment="1">
      <alignment horizontal="right"/>
    </xf>
    <xf numFmtId="0" fontId="0" fillId="2" borderId="2" xfId="0" applyFill="1" applyBorder="1" applyAlignment="1">
      <alignment horizontal="left"/>
    </xf>
    <xf numFmtId="0" fontId="0" fillId="2" borderId="9" xfId="0" applyFill="1" applyBorder="1" applyAlignment="1">
      <alignment horizontal="left"/>
    </xf>
    <xf numFmtId="0" fontId="16" fillId="0" borderId="4" xfId="0" applyFont="1" applyBorder="1" applyAlignment="1">
      <alignment horizontal="left" vertical="center"/>
    </xf>
    <xf numFmtId="0" fontId="16" fillId="0" borderId="6" xfId="0" applyFont="1" applyBorder="1" applyAlignment="1">
      <alignment horizontal="center" vertical="center"/>
    </xf>
    <xf numFmtId="0" fontId="16" fillId="2" borderId="6" xfId="0" applyFont="1" applyFill="1" applyBorder="1" applyAlignment="1">
      <alignment horizontal="center" vertical="center"/>
    </xf>
    <xf numFmtId="0" fontId="16" fillId="2" borderId="40" xfId="0" applyFont="1" applyFill="1" applyBorder="1" applyAlignment="1">
      <alignment horizontal="center" vertical="center"/>
    </xf>
    <xf numFmtId="0" fontId="0" fillId="12" borderId="4" xfId="0" applyFill="1" applyBorder="1" applyAlignment="1">
      <alignment horizontal="left"/>
    </xf>
    <xf numFmtId="0" fontId="0" fillId="12" borderId="40" xfId="0" applyFill="1" applyBorder="1"/>
    <xf numFmtId="0" fontId="3" fillId="2" borderId="9" xfId="0" applyFont="1" applyFill="1" applyBorder="1"/>
    <xf numFmtId="0" fontId="3" fillId="2" borderId="10" xfId="0" applyFont="1" applyFill="1" applyBorder="1" applyAlignment="1">
      <alignment wrapText="1"/>
    </xf>
    <xf numFmtId="0" fontId="3" fillId="2" borderId="9" xfId="0" applyFont="1" applyFill="1" applyBorder="1" applyAlignment="1">
      <alignment horizontal="left" vertical="center"/>
    </xf>
    <xf numFmtId="0" fontId="3" fillId="2" borderId="10" xfId="0" applyFont="1" applyFill="1" applyBorder="1"/>
    <xf numFmtId="0" fontId="0" fillId="12" borderId="5" xfId="0" applyFill="1" applyBorder="1" applyAlignment="1">
      <alignment horizontal="left"/>
    </xf>
    <xf numFmtId="0" fontId="0" fillId="12" borderId="32" xfId="0" applyFill="1" applyBorder="1"/>
    <xf numFmtId="0" fontId="0" fillId="12" borderId="5" xfId="0" applyFill="1" applyBorder="1" applyAlignment="1">
      <alignment vertical="center"/>
    </xf>
    <xf numFmtId="0" fontId="0" fillId="12" borderId="32" xfId="0" applyFill="1" applyBorder="1" applyAlignment="1">
      <alignment horizontal="left" vertical="center"/>
    </xf>
    <xf numFmtId="0" fontId="0" fillId="2" borderId="3" xfId="0" applyFill="1" applyBorder="1" applyAlignment="1">
      <alignment horizontal="right" vertical="center" wrapText="1"/>
    </xf>
    <xf numFmtId="0" fontId="0" fillId="12" borderId="5" xfId="0" applyFill="1" applyBorder="1"/>
    <xf numFmtId="0" fontId="0" fillId="12" borderId="32" xfId="0" applyFill="1" applyBorder="1" applyAlignment="1">
      <alignment horizontal="center" wrapText="1"/>
    </xf>
    <xf numFmtId="0" fontId="0" fillId="2" borderId="1" xfId="0" applyFill="1" applyBorder="1" applyAlignment="1">
      <alignment horizontal="right" wrapText="1"/>
    </xf>
    <xf numFmtId="0" fontId="0" fillId="12" borderId="7" xfId="0" applyFill="1" applyBorder="1" applyAlignment="1">
      <alignment horizontal="left"/>
    </xf>
    <xf numFmtId="0" fontId="0" fillId="12" borderId="23" xfId="0" applyFill="1" applyBorder="1" applyAlignment="1">
      <alignment horizontal="center" wrapText="1"/>
    </xf>
    <xf numFmtId="0" fontId="0" fillId="2" borderId="43" xfId="0" applyFill="1" applyBorder="1" applyAlignment="1">
      <alignment horizontal="center" textRotation="90" wrapText="1"/>
    </xf>
    <xf numFmtId="0" fontId="0" fillId="2" borderId="2" xfId="0" applyFill="1" applyBorder="1" applyAlignment="1">
      <alignment horizontal="center" textRotation="90" wrapText="1"/>
    </xf>
    <xf numFmtId="0" fontId="3" fillId="2" borderId="48" xfId="0" applyFont="1" applyFill="1" applyBorder="1" applyAlignment="1">
      <alignment horizontal="left"/>
    </xf>
    <xf numFmtId="0" fontId="3" fillId="2" borderId="1" xfId="0" applyFont="1" applyFill="1" applyBorder="1" applyAlignment="1">
      <alignment vertical="center"/>
    </xf>
    <xf numFmtId="0" fontId="3" fillId="2" borderId="10" xfId="0" applyFont="1" applyFill="1" applyBorder="1" applyAlignment="1">
      <alignment vertical="center" wrapText="1"/>
    </xf>
    <xf numFmtId="165" fontId="0" fillId="0" borderId="42" xfId="0" applyNumberFormat="1" applyBorder="1" applyAlignment="1">
      <alignment horizontal="center"/>
    </xf>
    <xf numFmtId="165" fontId="0" fillId="2" borderId="1" xfId="0" applyNumberFormat="1" applyFill="1" applyBorder="1" applyAlignment="1">
      <alignment horizontal="center"/>
    </xf>
    <xf numFmtId="165" fontId="0" fillId="2" borderId="10" xfId="0" applyNumberFormat="1" applyFill="1" applyBorder="1" applyAlignment="1">
      <alignment horizontal="center"/>
    </xf>
    <xf numFmtId="0" fontId="0" fillId="2" borderId="50" xfId="0" applyFill="1" applyBorder="1" applyAlignment="1">
      <alignment horizontal="center"/>
    </xf>
    <xf numFmtId="0" fontId="0" fillId="2" borderId="46" xfId="0" applyFill="1" applyBorder="1"/>
    <xf numFmtId="165" fontId="0" fillId="0" borderId="1" xfId="0" applyNumberFormat="1" applyBorder="1"/>
    <xf numFmtId="0" fontId="3" fillId="2" borderId="33" xfId="0" applyFont="1" applyFill="1" applyBorder="1"/>
    <xf numFmtId="0" fontId="3" fillId="2" borderId="55" xfId="0" applyFont="1" applyFill="1" applyBorder="1" applyAlignment="1">
      <alignment wrapText="1"/>
    </xf>
    <xf numFmtId="0" fontId="3" fillId="2" borderId="34" xfId="0" applyFont="1" applyFill="1" applyBorder="1" applyAlignment="1">
      <alignment wrapText="1"/>
    </xf>
    <xf numFmtId="0" fontId="0" fillId="2" borderId="10" xfId="0" applyFill="1" applyBorder="1" applyAlignment="1">
      <alignment horizontal="left"/>
    </xf>
    <xf numFmtId="0" fontId="0" fillId="2" borderId="40" xfId="0" applyFill="1" applyBorder="1"/>
    <xf numFmtId="165" fontId="0" fillId="2" borderId="3" xfId="0" applyNumberFormat="1" applyFill="1" applyBorder="1" applyAlignment="1">
      <alignment horizontal="center"/>
    </xf>
    <xf numFmtId="0" fontId="0" fillId="2" borderId="26" xfId="0" applyFill="1" applyBorder="1" applyAlignment="1">
      <alignment horizontal="center"/>
    </xf>
    <xf numFmtId="0" fontId="0" fillId="2" borderId="9" xfId="0" applyFill="1" applyBorder="1" applyAlignment="1">
      <alignment horizontal="center"/>
    </xf>
    <xf numFmtId="0" fontId="0" fillId="2" borderId="10" xfId="0" applyFill="1" applyBorder="1"/>
    <xf numFmtId="9" fontId="0" fillId="2" borderId="1" xfId="0" applyNumberFormat="1" applyFill="1" applyBorder="1" applyAlignment="1">
      <alignment horizontal="center"/>
    </xf>
    <xf numFmtId="0" fontId="0" fillId="2" borderId="9" xfId="0" applyFill="1" applyBorder="1"/>
    <xf numFmtId="0" fontId="0" fillId="2" borderId="22" xfId="0" applyFill="1" applyBorder="1"/>
    <xf numFmtId="0" fontId="3" fillId="2" borderId="11" xfId="0" applyFont="1" applyFill="1" applyBorder="1" applyAlignment="1">
      <alignment vertical="center"/>
    </xf>
    <xf numFmtId="0" fontId="0" fillId="2" borderId="33" xfId="0" applyFill="1" applyBorder="1"/>
    <xf numFmtId="0" fontId="0" fillId="2" borderId="64" xfId="0" applyFill="1" applyBorder="1"/>
    <xf numFmtId="0" fontId="0" fillId="2" borderId="34" xfId="0" applyFill="1" applyBorder="1"/>
    <xf numFmtId="0" fontId="0" fillId="2" borderId="57" xfId="0" applyFill="1" applyBorder="1" applyAlignment="1">
      <alignment horizontal="right" vertical="top" wrapText="1"/>
    </xf>
    <xf numFmtId="0" fontId="0" fillId="0" borderId="2"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4" fillId="0" borderId="0" xfId="0" applyFont="1" applyAlignment="1">
      <alignment horizont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2" borderId="5" xfId="0" applyFill="1" applyBorder="1" applyAlignment="1">
      <alignment horizontal="left" wrapText="1"/>
    </xf>
    <xf numFmtId="0" fontId="0" fillId="2" borderId="0" xfId="0" applyFill="1" applyAlignment="1">
      <alignment horizontal="left" wrapText="1"/>
    </xf>
    <xf numFmtId="0" fontId="3" fillId="2" borderId="8" xfId="0" applyFont="1" applyFill="1" applyBorder="1" applyAlignment="1">
      <alignment horizontal="center"/>
    </xf>
    <xf numFmtId="0" fontId="3" fillId="2" borderId="1" xfId="0" applyFont="1" applyFill="1" applyBorder="1" applyAlignment="1">
      <alignment horizontal="center" textRotation="90"/>
    </xf>
    <xf numFmtId="0" fontId="3" fillId="2" borderId="3" xfId="0" applyFont="1" applyFill="1" applyBorder="1" applyAlignment="1">
      <alignment horizontal="center" textRotation="90"/>
    </xf>
    <xf numFmtId="0" fontId="3" fillId="2" borderId="27" xfId="0" applyFont="1" applyFill="1" applyBorder="1" applyAlignment="1">
      <alignment horizontal="center" textRotation="90" wrapText="1"/>
    </xf>
    <xf numFmtId="0" fontId="3" fillId="2" borderId="30" xfId="0" applyFont="1" applyFill="1" applyBorder="1" applyAlignment="1">
      <alignment horizontal="center" textRotation="90" wrapText="1"/>
    </xf>
    <xf numFmtId="0" fontId="0" fillId="2" borderId="15" xfId="0" applyFill="1" applyBorder="1" applyAlignment="1">
      <alignment horizontal="center" wrapText="1"/>
    </xf>
    <xf numFmtId="0" fontId="0" fillId="2" borderId="0" xfId="0" applyFill="1" applyAlignment="1">
      <alignment horizontal="center" wrapText="1"/>
    </xf>
    <xf numFmtId="0" fontId="0" fillId="2" borderId="32" xfId="0" applyFill="1" applyBorder="1" applyAlignment="1">
      <alignment horizontal="center" wrapText="1"/>
    </xf>
    <xf numFmtId="0" fontId="0" fillId="2" borderId="35" xfId="0" applyFill="1" applyBorder="1" applyAlignment="1">
      <alignment horizontal="left" wrapText="1"/>
    </xf>
    <xf numFmtId="0" fontId="0" fillId="2" borderId="12" xfId="0" applyFill="1" applyBorder="1" applyAlignment="1">
      <alignment horizontal="left" wrapText="1"/>
    </xf>
    <xf numFmtId="0" fontId="3" fillId="2" borderId="16" xfId="0" applyFont="1" applyFill="1" applyBorder="1" applyAlignment="1">
      <alignment horizontal="center" textRotation="90"/>
    </xf>
    <xf numFmtId="0" fontId="3" fillId="9" borderId="3" xfId="0" applyFont="1" applyFill="1" applyBorder="1" applyAlignment="1">
      <alignment horizontal="center" textRotation="90"/>
    </xf>
    <xf numFmtId="0" fontId="3" fillId="9" borderId="26" xfId="0" applyFont="1" applyFill="1" applyBorder="1" applyAlignment="1">
      <alignment horizontal="center" textRotation="90"/>
    </xf>
    <xf numFmtId="0" fontId="3" fillId="9" borderId="22" xfId="0" applyFont="1" applyFill="1" applyBorder="1" applyAlignment="1">
      <alignment horizontal="center" textRotation="90"/>
    </xf>
    <xf numFmtId="0" fontId="3" fillId="10" borderId="3" xfId="0" applyFont="1" applyFill="1" applyBorder="1" applyAlignment="1">
      <alignment horizontal="center" textRotation="90"/>
    </xf>
    <xf numFmtId="0" fontId="3" fillId="10" borderId="26" xfId="0" applyFont="1" applyFill="1" applyBorder="1" applyAlignment="1">
      <alignment horizontal="center" textRotation="90"/>
    </xf>
    <xf numFmtId="0" fontId="3" fillId="10" borderId="22" xfId="0" applyFont="1" applyFill="1" applyBorder="1" applyAlignment="1">
      <alignment horizontal="center" textRotation="90"/>
    </xf>
    <xf numFmtId="0" fontId="3" fillId="8" borderId="3" xfId="0" applyFont="1" applyFill="1" applyBorder="1" applyAlignment="1">
      <alignment horizontal="center" textRotation="90"/>
    </xf>
    <xf numFmtId="0" fontId="3" fillId="8" borderId="26" xfId="0" applyFont="1" applyFill="1" applyBorder="1" applyAlignment="1">
      <alignment horizontal="center" textRotation="90"/>
    </xf>
    <xf numFmtId="0" fontId="3" fillId="8" borderId="22" xfId="0" applyFont="1" applyFill="1" applyBorder="1" applyAlignment="1">
      <alignment horizontal="center" textRotation="90"/>
    </xf>
    <xf numFmtId="0" fontId="3" fillId="8" borderId="29" xfId="0" applyFont="1" applyFill="1" applyBorder="1" applyAlignment="1">
      <alignment horizontal="center" textRotation="90"/>
    </xf>
    <xf numFmtId="0" fontId="3" fillId="7" borderId="3" xfId="0" applyFont="1" applyFill="1" applyBorder="1" applyAlignment="1">
      <alignment horizontal="center" textRotation="90"/>
    </xf>
    <xf numFmtId="0" fontId="3" fillId="7" borderId="26" xfId="0" applyFont="1" applyFill="1" applyBorder="1" applyAlignment="1">
      <alignment horizontal="center" textRotation="90"/>
    </xf>
    <xf numFmtId="0" fontId="3" fillId="7" borderId="22" xfId="0" applyFont="1" applyFill="1" applyBorder="1" applyAlignment="1">
      <alignment horizontal="center" textRotation="90"/>
    </xf>
    <xf numFmtId="0" fontId="0" fillId="7" borderId="3" xfId="0" applyFill="1" applyBorder="1" applyAlignment="1">
      <alignment horizontal="center" textRotation="90"/>
    </xf>
    <xf numFmtId="0" fontId="0" fillId="7" borderId="26" xfId="0" applyFill="1" applyBorder="1" applyAlignment="1">
      <alignment horizontal="center" textRotation="90"/>
    </xf>
    <xf numFmtId="0" fontId="0" fillId="7" borderId="22" xfId="0" applyFill="1" applyBorder="1" applyAlignment="1">
      <alignment horizontal="center" textRotation="90"/>
    </xf>
    <xf numFmtId="0" fontId="0" fillId="12" borderId="0" xfId="0" applyFill="1" applyAlignment="1">
      <alignment horizontal="left"/>
    </xf>
    <xf numFmtId="0" fontId="0" fillId="12" borderId="0" xfId="0" applyFill="1" applyAlignment="1">
      <alignment horizontal="left" wrapText="1"/>
    </xf>
    <xf numFmtId="0" fontId="3" fillId="12" borderId="0" xfId="0" applyFont="1" applyFill="1" applyAlignment="1">
      <alignment horizontal="left"/>
    </xf>
    <xf numFmtId="0" fontId="0" fillId="4" borderId="0" xfId="0" applyFill="1" applyAlignment="1">
      <alignment horizontal="left"/>
    </xf>
    <xf numFmtId="0" fontId="3" fillId="2" borderId="43" xfId="0" applyFont="1" applyFill="1" applyBorder="1" applyAlignment="1">
      <alignment horizontal="left"/>
    </xf>
    <xf numFmtId="0" fontId="3" fillId="2" borderId="1" xfId="0" applyFont="1" applyFill="1" applyBorder="1" applyAlignment="1">
      <alignment horizontal="left"/>
    </xf>
    <xf numFmtId="0" fontId="3" fillId="2" borderId="62" xfId="0" applyFont="1" applyFill="1" applyBorder="1" applyAlignment="1">
      <alignment horizontal="left"/>
    </xf>
    <xf numFmtId="0" fontId="0" fillId="12" borderId="50" xfId="0" applyFill="1" applyBorder="1" applyAlignment="1">
      <alignment horizontal="left" vertical="top" wrapText="1"/>
    </xf>
    <xf numFmtId="0" fontId="0" fillId="12" borderId="48" xfId="0" applyFill="1" applyBorder="1" applyAlignment="1">
      <alignment horizontal="left" vertical="top" wrapText="1"/>
    </xf>
    <xf numFmtId="0" fontId="0" fillId="12" borderId="47" xfId="0" applyFill="1" applyBorder="1" applyAlignment="1">
      <alignment horizontal="left" vertical="top" wrapText="1"/>
    </xf>
    <xf numFmtId="0" fontId="0" fillId="2" borderId="0" xfId="0" applyFill="1" applyAlignment="1">
      <alignment horizontal="left" vertical="top"/>
    </xf>
    <xf numFmtId="0" fontId="0" fillId="2" borderId="2" xfId="0" applyFill="1" applyBorder="1" applyAlignment="1">
      <alignment horizontal="center"/>
    </xf>
    <xf numFmtId="0" fontId="0" fillId="2" borderId="9" xfId="0" applyFill="1" applyBorder="1" applyAlignment="1">
      <alignment horizontal="center"/>
    </xf>
    <xf numFmtId="0" fontId="0" fillId="2" borderId="45" xfId="0" applyFill="1" applyBorder="1" applyAlignment="1">
      <alignment horizontal="center"/>
    </xf>
    <xf numFmtId="0" fontId="0" fillId="2" borderId="42" xfId="0" applyFill="1" applyBorder="1" applyAlignment="1">
      <alignment horizontal="left"/>
    </xf>
    <xf numFmtId="0" fontId="0" fillId="2" borderId="61" xfId="0" applyFill="1" applyBorder="1" applyAlignment="1">
      <alignment horizontal="left"/>
    </xf>
    <xf numFmtId="0" fontId="3" fillId="2" borderId="0" xfId="0" applyFont="1" applyFill="1" applyAlignment="1">
      <alignment horizontal="left" vertical="top"/>
    </xf>
    <xf numFmtId="0" fontId="14" fillId="2" borderId="8" xfId="0" applyFont="1" applyFill="1" applyBorder="1" applyAlignment="1">
      <alignment horizontal="center"/>
    </xf>
    <xf numFmtId="0" fontId="0" fillId="2" borderId="2" xfId="0" applyFill="1" applyBorder="1" applyAlignment="1">
      <alignment horizontal="left"/>
    </xf>
    <xf numFmtId="0" fontId="0" fillId="2" borderId="9" xfId="0" applyFill="1" applyBorder="1" applyAlignment="1">
      <alignment horizontal="left"/>
    </xf>
    <xf numFmtId="0" fontId="0" fillId="2" borderId="10" xfId="0" applyFill="1" applyBorder="1" applyAlignment="1">
      <alignment horizontal="left"/>
    </xf>
    <xf numFmtId="0" fontId="15" fillId="0" borderId="6" xfId="0" applyFont="1" applyBorder="1" applyAlignment="1">
      <alignment horizontal="center" vertical="center" wrapText="1"/>
    </xf>
    <xf numFmtId="0" fontId="15" fillId="0" borderId="53"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0" xfId="0" applyFont="1" applyBorder="1" applyAlignment="1">
      <alignment horizontal="center" vertical="center" wrapText="1"/>
    </xf>
    <xf numFmtId="0" fontId="0" fillId="9" borderId="58" xfId="0" applyFill="1" applyBorder="1" applyAlignment="1">
      <alignment horizontal="left" vertical="top"/>
    </xf>
    <xf numFmtId="0" fontId="0" fillId="9" borderId="25" xfId="0" applyFill="1" applyBorder="1" applyAlignment="1">
      <alignment horizontal="left" vertical="top"/>
    </xf>
    <xf numFmtId="0" fontId="0" fillId="2" borderId="33" xfId="0" applyFill="1" applyBorder="1" applyAlignment="1">
      <alignment horizontal="right"/>
    </xf>
    <xf numFmtId="0" fontId="0" fillId="2" borderId="55" xfId="0" applyFill="1" applyBorder="1" applyAlignment="1">
      <alignment horizontal="right"/>
    </xf>
    <xf numFmtId="0" fontId="0" fillId="2" borderId="59" xfId="0" applyFill="1" applyBorder="1" applyAlignment="1">
      <alignment horizontal="right"/>
    </xf>
    <xf numFmtId="0" fontId="2" fillId="2" borderId="48" xfId="0" applyFont="1" applyFill="1" applyBorder="1" applyAlignment="1">
      <alignment horizontal="center"/>
    </xf>
    <xf numFmtId="0" fontId="2" fillId="2" borderId="47" xfId="0" applyFont="1"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20" xfId="0" applyFill="1" applyBorder="1" applyAlignment="1">
      <alignment horizontal="center"/>
    </xf>
    <xf numFmtId="0" fontId="0" fillId="2" borderId="65" xfId="0" applyFill="1" applyBorder="1" applyAlignment="1">
      <alignment horizontal="left"/>
    </xf>
    <xf numFmtId="0" fontId="0" fillId="2" borderId="63" xfId="0" applyFill="1" applyBorder="1" applyAlignment="1">
      <alignment horizontal="left"/>
    </xf>
    <xf numFmtId="0" fontId="0" fillId="2" borderId="66" xfId="0" applyFill="1" applyBorder="1" applyAlignment="1">
      <alignment horizontal="left"/>
    </xf>
    <xf numFmtId="0" fontId="3" fillId="2" borderId="67" xfId="0" applyFont="1" applyFill="1" applyBorder="1" applyAlignment="1">
      <alignment horizontal="left"/>
    </xf>
    <xf numFmtId="0" fontId="3" fillId="2" borderId="68" xfId="0" applyFont="1" applyFill="1" applyBorder="1" applyAlignment="1">
      <alignment horizontal="left"/>
    </xf>
    <xf numFmtId="0" fontId="0" fillId="0" borderId="50" xfId="0" applyBorder="1" applyAlignment="1">
      <alignment horizontal="left" vertical="top" wrapText="1"/>
    </xf>
    <xf numFmtId="0" fontId="0" fillId="0" borderId="48" xfId="0" applyBorder="1" applyAlignment="1">
      <alignment horizontal="left" vertical="top" wrapText="1"/>
    </xf>
    <xf numFmtId="0" fontId="0" fillId="0" borderId="47" xfId="0" applyBorder="1" applyAlignment="1">
      <alignment horizontal="left" vertical="top" wrapText="1"/>
    </xf>
    <xf numFmtId="0" fontId="14" fillId="2" borderId="63" xfId="0" applyFont="1" applyFill="1" applyBorder="1" applyAlignment="1">
      <alignment horizontal="center" vertical="center"/>
    </xf>
    <xf numFmtId="0" fontId="17" fillId="2" borderId="33" xfId="0" applyFont="1" applyFill="1" applyBorder="1" applyAlignment="1">
      <alignment horizontal="center" wrapText="1"/>
    </xf>
    <xf numFmtId="0" fontId="17" fillId="2" borderId="55" xfId="0" applyFont="1" applyFill="1" applyBorder="1" applyAlignment="1">
      <alignment horizontal="center" wrapText="1"/>
    </xf>
    <xf numFmtId="0" fontId="17" fillId="2" borderId="34" xfId="0" applyFont="1" applyFill="1" applyBorder="1" applyAlignment="1">
      <alignment horizontal="center" wrapText="1"/>
    </xf>
    <xf numFmtId="0" fontId="0" fillId="0" borderId="58" xfId="0" applyBorder="1" applyAlignment="1">
      <alignment horizontal="left" vertical="top"/>
    </xf>
    <xf numFmtId="0" fontId="0" fillId="0" borderId="25" xfId="0" applyBorder="1" applyAlignment="1">
      <alignment horizontal="left" vertical="top"/>
    </xf>
    <xf numFmtId="0" fontId="3" fillId="2" borderId="15" xfId="0" applyFont="1" applyFill="1" applyBorder="1" applyAlignment="1">
      <alignment horizontal="left" vertical="top"/>
    </xf>
    <xf numFmtId="0" fontId="3" fillId="2" borderId="16" xfId="0" applyFont="1" applyFill="1" applyBorder="1" applyAlignment="1">
      <alignment horizontal="left" vertical="top"/>
    </xf>
    <xf numFmtId="0" fontId="0" fillId="2" borderId="15" xfId="0" applyFill="1" applyBorder="1" applyAlignment="1">
      <alignment horizontal="left" vertical="top"/>
    </xf>
    <xf numFmtId="0" fontId="0" fillId="2" borderId="16" xfId="0" applyFill="1" applyBorder="1" applyAlignment="1">
      <alignment horizontal="left" vertical="top"/>
    </xf>
    <xf numFmtId="165" fontId="0" fillId="0" borderId="1" xfId="2" applyNumberFormat="1" applyFont="1" applyBorder="1" applyAlignment="1">
      <alignment horizontal="center"/>
    </xf>
    <xf numFmtId="165" fontId="0" fillId="0" borderId="22" xfId="0" applyNumberFormat="1" applyBorder="1" applyAlignment="1">
      <alignment horizontal="center"/>
    </xf>
    <xf numFmtId="0" fontId="3" fillId="7" borderId="7" xfId="0" applyFont="1" applyFill="1" applyBorder="1" applyAlignment="1">
      <alignment horizontal="left" vertical="center"/>
    </xf>
    <xf numFmtId="0" fontId="3" fillId="7" borderId="8" xfId="0" applyFont="1" applyFill="1" applyBorder="1" applyAlignment="1">
      <alignment horizontal="left" vertical="center"/>
    </xf>
    <xf numFmtId="1" fontId="3" fillId="2" borderId="5" xfId="0" applyNumberFormat="1" applyFont="1" applyFill="1" applyBorder="1" applyAlignment="1">
      <alignment horizontal="left" vertical="center"/>
    </xf>
    <xf numFmtId="1" fontId="3" fillId="2" borderId="0" xfId="0" applyNumberFormat="1" applyFont="1" applyFill="1" applyBorder="1" applyAlignment="1">
      <alignment horizontal="left" vertical="center"/>
    </xf>
    <xf numFmtId="0" fontId="3" fillId="8" borderId="0" xfId="0" applyFont="1" applyFill="1" applyBorder="1" applyAlignment="1">
      <alignment horizontal="left" vertical="center"/>
    </xf>
    <xf numFmtId="0" fontId="3" fillId="10" borderId="0" xfId="0" applyFont="1" applyFill="1" applyBorder="1" applyAlignment="1">
      <alignment horizontal="left" vertical="center"/>
    </xf>
    <xf numFmtId="165" fontId="3" fillId="9" borderId="8" xfId="0" applyNumberFormat="1" applyFont="1" applyFill="1" applyBorder="1" applyAlignment="1">
      <alignment horizontal="left"/>
    </xf>
    <xf numFmtId="165" fontId="3" fillId="9" borderId="26" xfId="0" applyNumberFormat="1" applyFont="1" applyFill="1" applyBorder="1" applyAlignment="1">
      <alignment horizontal="center"/>
    </xf>
    <xf numFmtId="165" fontId="3" fillId="9" borderId="3" xfId="0" applyNumberFormat="1" applyFont="1" applyFill="1" applyBorder="1" applyAlignment="1">
      <alignment horizontal="center" textRotation="90"/>
    </xf>
    <xf numFmtId="165" fontId="3" fillId="0" borderId="0" xfId="0" applyNumberFormat="1" applyFont="1"/>
    <xf numFmtId="165" fontId="3" fillId="9" borderId="8" xfId="0" applyNumberFormat="1" applyFont="1" applyFill="1" applyBorder="1" applyAlignment="1">
      <alignment horizontal="right"/>
    </xf>
    <xf numFmtId="165" fontId="3" fillId="9" borderId="8" xfId="0" applyNumberFormat="1" applyFont="1" applyFill="1" applyBorder="1" applyAlignment="1">
      <alignment horizontal="center" vertical="center"/>
    </xf>
    <xf numFmtId="165" fontId="3" fillId="10" borderId="8" xfId="0" applyNumberFormat="1" applyFont="1" applyFill="1" applyBorder="1" applyAlignment="1">
      <alignment horizontal="center"/>
    </xf>
    <xf numFmtId="165" fontId="3" fillId="10" borderId="26" xfId="0" applyNumberFormat="1" applyFont="1" applyFill="1" applyBorder="1" applyAlignment="1">
      <alignment horizontal="center"/>
    </xf>
    <xf numFmtId="165" fontId="3" fillId="10" borderId="3" xfId="0" applyNumberFormat="1" applyFont="1" applyFill="1" applyBorder="1" applyAlignment="1">
      <alignment horizontal="center" textRotation="90"/>
    </xf>
    <xf numFmtId="165" fontId="3" fillId="10" borderId="8" xfId="0" applyNumberFormat="1" applyFont="1" applyFill="1" applyBorder="1" applyAlignment="1">
      <alignment horizontal="right"/>
    </xf>
    <xf numFmtId="165" fontId="3" fillId="10" borderId="8" xfId="0" applyNumberFormat="1" applyFont="1" applyFill="1" applyBorder="1" applyAlignment="1">
      <alignment horizontal="center" vertical="center"/>
    </xf>
    <xf numFmtId="1" fontId="3" fillId="9" borderId="26" xfId="0" applyNumberFormat="1" applyFont="1" applyFill="1" applyBorder="1" applyAlignment="1">
      <alignment horizontal="center"/>
    </xf>
    <xf numFmtId="1" fontId="3" fillId="10" borderId="26" xfId="0" applyNumberFormat="1"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3">
    <dxf>
      <fill>
        <patternFill>
          <bgColor rgb="FFFF6699"/>
        </patternFill>
      </fill>
    </dxf>
    <dxf>
      <font>
        <color theme="1" tint="0.34998626667073579"/>
      </font>
      <fill>
        <patternFill>
          <bgColor theme="0" tint="-0.14996795556505021"/>
        </patternFill>
      </fill>
    </dxf>
    <dxf>
      <font>
        <color theme="9" tint="0.3999450666829432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worksheet" Target="worksheets/sheet1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6.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Competition Results:</a:t>
            </a:r>
          </a:p>
          <a:p>
            <a:pPr>
              <a:defRPr/>
            </a:pPr>
            <a:r>
              <a:rPr lang="en-US"/>
              <a:t>Ranked by Increasing (normalized)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Analysis!$K$3</c:f>
              <c:strCache>
                <c:ptCount val="1"/>
                <c:pt idx="0">
                  <c:v>Raw Span</c:v>
                </c:pt>
              </c:strCache>
            </c:strRef>
          </c:tx>
          <c:spPr>
            <a:ln w="28575" cap="rnd">
              <a:solidFill>
                <a:schemeClr val="accent1"/>
              </a:solidFill>
              <a:round/>
            </a:ln>
            <a:effectLst/>
          </c:spPr>
          <c:marker>
            <c:symbol val="none"/>
          </c:marker>
          <c:val>
            <c:numRef>
              <c:f>Analysis!$K$4:$K$13</c:f>
              <c:numCache>
                <c:formatCode>0.0</c:formatCode>
                <c:ptCount val="10"/>
                <c:pt idx="0">
                  <c:v>2.3673217296600342</c:v>
                </c:pt>
                <c:pt idx="1">
                  <c:v>4.5323505401611328</c:v>
                </c:pt>
                <c:pt idx="2">
                  <c:v>3.2404217720031738</c:v>
                </c:pt>
                <c:pt idx="3">
                  <c:v>1.2824157476425171</c:v>
                </c:pt>
                <c:pt idx="4">
                  <c:v>1.3270272016525269</c:v>
                </c:pt>
                <c:pt idx="5">
                  <c:v>4.4811745882034302</c:v>
                </c:pt>
                <c:pt idx="6">
                  <c:v>3.4924023151397705</c:v>
                </c:pt>
                <c:pt idx="7">
                  <c:v>2.9560898542404175</c:v>
                </c:pt>
                <c:pt idx="8">
                  <c:v>2.2556568384170532</c:v>
                </c:pt>
                <c:pt idx="9">
                  <c:v>2.1079912185668945</c:v>
                </c:pt>
              </c:numCache>
            </c:numRef>
          </c:val>
          <c:smooth val="0"/>
          <c:extLst>
            <c:ext xmlns:c16="http://schemas.microsoft.com/office/drawing/2014/chart" uri="{C3380CC4-5D6E-409C-BE32-E72D297353CC}">
              <c16:uniqueId val="{00000000-AC51-4C61-A679-2057E0DB699B}"/>
            </c:ext>
          </c:extLst>
        </c:ser>
        <c:ser>
          <c:idx val="1"/>
          <c:order val="1"/>
          <c:tx>
            <c:strRef>
              <c:f>Analysis!$S$3</c:f>
              <c:strCache>
                <c:ptCount val="1"/>
                <c:pt idx="0">
                  <c:v>Norm. Average</c:v>
                </c:pt>
              </c:strCache>
            </c:strRef>
          </c:tx>
          <c:spPr>
            <a:ln w="28575" cap="rnd">
              <a:solidFill>
                <a:schemeClr val="accent2"/>
              </a:solidFill>
              <a:round/>
            </a:ln>
            <a:effectLst/>
          </c:spPr>
          <c:marker>
            <c:symbol val="none"/>
          </c:marker>
          <c:val>
            <c:numRef>
              <c:f>Analysis!$S$4:$S$13</c:f>
              <c:numCache>
                <c:formatCode>0.0</c:formatCode>
                <c:ptCount val="10"/>
                <c:pt idx="0">
                  <c:v>13.294088176136004</c:v>
                </c:pt>
                <c:pt idx="1">
                  <c:v>13.492052790211453</c:v>
                </c:pt>
                <c:pt idx="2">
                  <c:v>13.579939405767217</c:v>
                </c:pt>
                <c:pt idx="3">
                  <c:v>13.786285912233092</c:v>
                </c:pt>
                <c:pt idx="4">
                  <c:v>14.118537841199954</c:v>
                </c:pt>
                <c:pt idx="5">
                  <c:v>14.124075497881339</c:v>
                </c:pt>
                <c:pt idx="6">
                  <c:v>14.197278354252422</c:v>
                </c:pt>
                <c:pt idx="7">
                  <c:v>15.068200033691511</c:v>
                </c:pt>
                <c:pt idx="8">
                  <c:v>15.298883948274309</c:v>
                </c:pt>
                <c:pt idx="9">
                  <c:v>15.921494419162563</c:v>
                </c:pt>
              </c:numCache>
            </c:numRef>
          </c:val>
          <c:smooth val="0"/>
          <c:extLst>
            <c:ext xmlns:c16="http://schemas.microsoft.com/office/drawing/2014/chart" uri="{C3380CC4-5D6E-409C-BE32-E72D297353CC}">
              <c16:uniqueId val="{00000001-AC51-4C61-A679-2057E0DB699B}"/>
            </c:ext>
          </c:extLst>
        </c:ser>
        <c:ser>
          <c:idx val="2"/>
          <c:order val="2"/>
          <c:tx>
            <c:strRef>
              <c:f>Analysis!$T$3</c:f>
              <c:strCache>
                <c:ptCount val="1"/>
                <c:pt idx="0">
                  <c:v>Norm. Min</c:v>
                </c:pt>
              </c:strCache>
            </c:strRef>
          </c:tx>
          <c:spPr>
            <a:ln w="28575" cap="rnd">
              <a:solidFill>
                <a:schemeClr val="accent3"/>
              </a:solidFill>
              <a:prstDash val="dash"/>
              <a:round/>
            </a:ln>
            <a:effectLst/>
          </c:spPr>
          <c:marker>
            <c:symbol val="none"/>
          </c:marker>
          <c:val>
            <c:numRef>
              <c:f>Analysis!$T$4:$T$13</c:f>
              <c:numCache>
                <c:formatCode>0.0</c:formatCode>
                <c:ptCount val="10"/>
                <c:pt idx="0">
                  <c:v>11.86863165560206</c:v>
                </c:pt>
                <c:pt idx="1">
                  <c:v>11.284243706296564</c:v>
                </c:pt>
                <c:pt idx="2">
                  <c:v>10.362354284927566</c:v>
                </c:pt>
                <c:pt idx="3">
                  <c:v>12.278749324227013</c:v>
                </c:pt>
                <c:pt idx="4">
                  <c:v>12.635516105780455</c:v>
                </c:pt>
                <c:pt idx="5">
                  <c:v>11.250074620221429</c:v>
                </c:pt>
                <c:pt idx="6">
                  <c:v>12.939009595820007</c:v>
                </c:pt>
                <c:pt idx="7">
                  <c:v>13.581382843862899</c:v>
                </c:pt>
                <c:pt idx="8">
                  <c:v>14.070494485893663</c:v>
                </c:pt>
                <c:pt idx="9">
                  <c:v>14.71536286986154</c:v>
                </c:pt>
              </c:numCache>
            </c:numRef>
          </c:val>
          <c:smooth val="0"/>
          <c:extLst>
            <c:ext xmlns:c16="http://schemas.microsoft.com/office/drawing/2014/chart" uri="{C3380CC4-5D6E-409C-BE32-E72D297353CC}">
              <c16:uniqueId val="{00000002-AC51-4C61-A679-2057E0DB699B}"/>
            </c:ext>
          </c:extLst>
        </c:ser>
        <c:ser>
          <c:idx val="3"/>
          <c:order val="3"/>
          <c:tx>
            <c:strRef>
              <c:f>Analysis!$U$3</c:f>
              <c:strCache>
                <c:ptCount val="1"/>
                <c:pt idx="0">
                  <c:v>Norm. Max</c:v>
                </c:pt>
              </c:strCache>
            </c:strRef>
          </c:tx>
          <c:spPr>
            <a:ln w="28575" cap="rnd">
              <a:solidFill>
                <a:schemeClr val="accent4"/>
              </a:solidFill>
              <a:prstDash val="dash"/>
              <a:round/>
            </a:ln>
            <a:effectLst/>
          </c:spPr>
          <c:marker>
            <c:symbol val="none"/>
          </c:marker>
          <c:val>
            <c:numRef>
              <c:f>Analysis!$U$4:$U$13</c:f>
              <c:numCache>
                <c:formatCode>0.0</c:formatCode>
                <c:ptCount val="10"/>
                <c:pt idx="0">
                  <c:v>14.688685055324356</c:v>
                </c:pt>
                <c:pt idx="1">
                  <c:v>16.293667935996272</c:v>
                </c:pt>
                <c:pt idx="2">
                  <c:v>15.109001157237794</c:v>
                </c:pt>
                <c:pt idx="3">
                  <c:v>15.436304791209581</c:v>
                </c:pt>
                <c:pt idx="4">
                  <c:v>15.550774438997539</c:v>
                </c:pt>
                <c:pt idx="5">
                  <c:v>16.218680023280495</c:v>
                </c:pt>
                <c:pt idx="6">
                  <c:v>15.891839286535483</c:v>
                </c:pt>
                <c:pt idx="7">
                  <c:v>16.882627483577625</c:v>
                </c:pt>
                <c:pt idx="8">
                  <c:v>16.752210522499396</c:v>
                </c:pt>
                <c:pt idx="9">
                  <c:v>17.03100305582813</c:v>
                </c:pt>
              </c:numCache>
            </c:numRef>
          </c:val>
          <c:smooth val="0"/>
          <c:extLst>
            <c:ext xmlns:c16="http://schemas.microsoft.com/office/drawing/2014/chart" uri="{C3380CC4-5D6E-409C-BE32-E72D297353CC}">
              <c16:uniqueId val="{00000003-AC51-4C61-A679-2057E0DB699B}"/>
            </c:ext>
          </c:extLst>
        </c:ser>
        <c:ser>
          <c:idx val="4"/>
          <c:order val="4"/>
          <c:tx>
            <c:strRef>
              <c:f>Analysis!$V$3</c:f>
              <c:strCache>
                <c:ptCount val="1"/>
                <c:pt idx="0">
                  <c:v>Norm. Span</c:v>
                </c:pt>
              </c:strCache>
            </c:strRef>
          </c:tx>
          <c:spPr>
            <a:ln w="28575" cap="rnd">
              <a:solidFill>
                <a:schemeClr val="accent5"/>
              </a:solidFill>
              <a:round/>
            </a:ln>
            <a:effectLst/>
          </c:spPr>
          <c:marker>
            <c:symbol val="none"/>
          </c:marker>
          <c:val>
            <c:numRef>
              <c:f>Analysis!$V$4:$V$13</c:f>
              <c:numCache>
                <c:formatCode>0.0</c:formatCode>
                <c:ptCount val="10"/>
                <c:pt idx="0">
                  <c:v>2.8200533997222959</c:v>
                </c:pt>
                <c:pt idx="1">
                  <c:v>5.0094242296997074</c:v>
                </c:pt>
                <c:pt idx="2">
                  <c:v>4.7466468723102277</c:v>
                </c:pt>
                <c:pt idx="3">
                  <c:v>3.1575554669825685</c:v>
                </c:pt>
                <c:pt idx="4">
                  <c:v>2.9152583332170838</c:v>
                </c:pt>
                <c:pt idx="5">
                  <c:v>4.9686054030590654</c:v>
                </c:pt>
                <c:pt idx="6">
                  <c:v>2.9528296907154754</c:v>
                </c:pt>
                <c:pt idx="7">
                  <c:v>3.3012446397147261</c:v>
                </c:pt>
                <c:pt idx="8">
                  <c:v>2.6817160366057333</c:v>
                </c:pt>
                <c:pt idx="9">
                  <c:v>2.3156401859665898</c:v>
                </c:pt>
              </c:numCache>
            </c:numRef>
          </c:val>
          <c:smooth val="0"/>
          <c:extLst>
            <c:ext xmlns:c16="http://schemas.microsoft.com/office/drawing/2014/chart" uri="{C3380CC4-5D6E-409C-BE32-E72D297353CC}">
              <c16:uniqueId val="{00000004-AC51-4C61-A679-2057E0DB699B}"/>
            </c:ext>
          </c:extLst>
        </c:ser>
        <c:dLbls>
          <c:showLegendKey val="0"/>
          <c:showVal val="0"/>
          <c:showCatName val="0"/>
          <c:showSerName val="0"/>
          <c:showPercent val="0"/>
          <c:showBubbleSize val="0"/>
        </c:dLbls>
        <c:smooth val="0"/>
        <c:axId val="1325284575"/>
        <c:axId val="1325282911"/>
      </c:lineChart>
      <c:catAx>
        <c:axId val="13252845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282911"/>
        <c:crosses val="autoZero"/>
        <c:auto val="1"/>
        <c:lblAlgn val="ctr"/>
        <c:lblOffset val="100"/>
        <c:noMultiLvlLbl val="0"/>
      </c:catAx>
      <c:valAx>
        <c:axId val="13252829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28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D2DAA23-85C2-4C3A-A8A9-99910B709745}">
  <sheetPr codeName="Chart1">
    <tabColor theme="9" tint="0.79998168889431442"/>
  </sheetPr>
  <sheetViews>
    <sheetView zoomScale="10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a:extLst>
            <a:ext uri="{FF2B5EF4-FFF2-40B4-BE49-F238E27FC236}">
              <a16:creationId xmlns:a16="http://schemas.microsoft.com/office/drawing/2014/main" id="{CD0F5236-4BBE-40ED-A455-5E9AF10AA5F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bert van den Berg" id="{27691136-5A62-48AC-B24F-6B0F6A2B0FFE}" userId="ee31b047394a07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1-02-21T13:30:39.00" personId="{27691136-5A62-48AC-B24F-6B0F6A2B0FFE}" id="{B6A6CE54-972C-474D-AC1E-16288226552C}">
    <text>CoSeT calculates how many are needed, if there are no exclusions (i.e., Conflicts of Interest).  If CoSeT is having trouble making all the assignments consider increasing this parameter to allow some of the markers to score more projects.</text>
  </threadedComment>
  <threadedComment ref="K13" dT="2021-01-27T01:46:20.92" personId="{27691136-5A62-48AC-B24F-6B0F6A2B0FFE}" id="{20DC4CC5-02F5-4660-9988-903A09D2523F}">
    <text>Defined by the number of titles on the project sheet</text>
  </threadedComment>
  <threadedComment ref="K16" dT="2021-01-27T01:46:53.78" personId="{27691136-5A62-48AC-B24F-6B0F6A2B0FFE}" id="{62031B91-2A65-45A8-8CA8-FB8472AC2E67}">
    <text>Defined by the number of names on the Markers sheet</text>
  </threadedComment>
</ThreadedComments>
</file>

<file path=xl/threadedComments/threadedComment10.xml><?xml version="1.0" encoding="utf-8"?>
<ThreadedComments xmlns="http://schemas.microsoft.com/office/spreadsheetml/2018/threadedcomments" xmlns:x="http://schemas.openxmlformats.org/spreadsheetml/2006/main">
  <threadedComment ref="BH4" dT="2021-02-22T14:03:46.65" personId="{27691136-5A62-48AC-B24F-6B0F6A2B0FFE}" id="{781A631C-A4BD-4B14-B8B1-A778BBFD1218}">
    <text>DO NOT EDIT OR SORT THIS COLUMN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1-03-03T00:59:52.15" personId="{27691136-5A62-48AC-B24F-6B0F6A2B0FFE}" id="{684D96AB-FDA2-4338-91D9-C5C3454D6B5C}">
    <text>If there is a period '.' in this cell please leave it there.</text>
  </threadedComment>
</ThreadedComments>
</file>

<file path=xl/threadedComments/threadedComment12.xml><?xml version="1.0" encoding="utf-8"?>
<ThreadedComments xmlns="http://schemas.microsoft.com/office/spreadsheetml/2018/threadedcomments" xmlns:x="http://schemas.openxmlformats.org/spreadsheetml/2006/main">
  <threadedComment ref="C1" dT="2021-01-28T13:53:38.10" personId="{27691136-5A62-48AC-B24F-6B0F6A2B0FFE}" id="{B5A89DAC-84FC-4291-BF31-74555B594A1E}">
    <text>Revise or delete column &amp; header.</text>
  </threadedComment>
  <threadedComment ref="D1" dT="2021-01-28T13:53:13.01" personId="{27691136-5A62-48AC-B24F-6B0F6A2B0FFE}" id="{57479133-3853-415B-AB1B-D5E7D88A5B75}">
    <text>Add or subtract columns as you want.</text>
  </threadedComment>
  <threadedComment ref="E1" dT="2021-01-28T13:53:53.73" personId="{27691136-5A62-48AC-B24F-6B0F6A2B0FFE}" id="{998FECAC-D009-4961-B4C4-5A0DA81BFE4C}">
    <text>Revise or delete column &amp; header.</text>
  </threadedComment>
  <threadedComment ref="F1" dT="2021-01-28T13:47:47.80" personId="{27691136-5A62-48AC-B24F-6B0F6A2B0FFE}" id="{D62801E9-F7F8-47BD-8721-5152BB3BF822}">
    <text>Do not edit the text in this cell</text>
  </threadedComment>
  <threadedComment ref="G1" dT="2021-01-28T13:48:04.75" personId="{27691136-5A62-48AC-B24F-6B0F6A2B0FFE}" id="{BB0AE123-4D05-4F39-BFB2-E646BFDD1E8A}">
    <text>Do not edit the text in this cell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3-12T23:01:11.58" personId="{27691136-5A62-48AC-B24F-6B0F6A2B0FFE}" id="{B4090FAB-E311-4C3A-924F-7E26B0CA4285}">
    <text>This column must have consecutive integers starting at 1 (up to the number of criteria).</text>
  </threadedComment>
  <threadedComment ref="G9" dT="2021-02-13T19:38:34.90" personId="{27691136-5A62-48AC-B24F-6B0F6A2B0FFE}" id="{74465F1E-31A1-4FD8-99EF-A9744843BEC6}">
    <text>This table is created by a COPY of the table in columns A:E, followed by a PASTE SPECIAL TRANSPOSE referencing this cell.</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1-03-12T23:01:41.43" personId="{27691136-5A62-48AC-B24F-6B0F6A2B0FFE}" id="{FA959E0D-35AB-4FE3-BF26-DFFF77EB65FE}">
    <text>This column must have consecutive integers starting at 1 (up to the number of projects).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1-12T23:32:43.02" personId="{27691136-5A62-48AC-B24F-6B0F6A2B0FFE}" id="{5FB6D42A-BF73-44A4-95B5-7A7E699AC76E}">
    <text>Don't change the text in this cell (used by a Macro)</text>
  </threadedComment>
  <threadedComment ref="A2" dT="2021-03-12T23:01:58.64" personId="{27691136-5A62-48AC-B24F-6B0F6A2B0FFE}" id="{9E9F8D58-2B23-441B-9E91-80A97268ED37}">
    <text>This column must have consecutive integers starting at 1 (up to the number of markers).</text>
  </threadedComment>
</ThreadedComments>
</file>

<file path=xl/threadedComments/threadedComment5.xml><?xml version="1.0" encoding="utf-8"?>
<ThreadedComments xmlns="http://schemas.microsoft.com/office/spreadsheetml/2018/threadedcomments" xmlns:x="http://schemas.openxmlformats.org/spreadsheetml/2006/main">
  <threadedComment ref="D2" dT="2021-02-01T21:13:16.74" personId="{27691136-5A62-48AC-B24F-6B0F6A2B0FFE}" id="{D90147E4-A6D3-46F7-ACA8-FA741C3D08A8}">
    <text>A zero or empty weight indicates the keyword is not used.</text>
  </threadedComment>
  <threadedComment ref="A3" dT="2021-03-12T23:02:20.20" personId="{27691136-5A62-48AC-B24F-6B0F6A2B0FFE}" id="{FFDF1C0D-7B96-44A3-B6D7-8A2BA245677E}">
    <text>This column must have consecutive integers starting at 1 (up to the number of keywords).</text>
  </threadedComment>
  <threadedComment ref="F4" dT="2021-02-13T19:39:31.93" personId="{27691136-5A62-48AC-B24F-6B0F6A2B0FFE}" id="{32B0DC6F-19DC-47FB-9275-65FBED2ED839}">
    <text>This table is created by a COPY of the table in columns A:D, followed by a PASTE SPECIAL TRANSPOSE referencing this cell.</text>
  </threadedComment>
  <threadedComment ref="F7" dT="2021-02-01T21:13:16.74" personId="{27691136-5A62-48AC-B24F-6B0F6A2B0FFE}" id="{C143AED0-C418-46F6-8FB7-337989D9635F}">
    <text>A zero or empty weight indicates the keyword is not used.</text>
  </threadedComment>
</ThreadedComments>
</file>

<file path=xl/threadedComments/threadedComment6.xml><?xml version="1.0" encoding="utf-8"?>
<ThreadedComments xmlns="http://schemas.microsoft.com/office/spreadsheetml/2018/threadedcomments" xmlns:x="http://schemas.openxmlformats.org/spreadsheetml/2006/main">
  <threadedComment ref="C4" dT="2021-02-12T14:15:08.68" personId="{27691136-5A62-48AC-B24F-6B0F6A2B0FFE}" id="{E4DAEAE0-6085-497B-900B-E2EB806FED63}">
    <text>Enter your level of expertise for each project as  L (low), M (medium) or H (high) in each cell.</text>
  </threadedComment>
  <threadedComment ref="J4" dT="2021-03-10T01:33:20.64" personId="{27691136-5A62-48AC-B24F-6B0F6A2B0FFE}" id="{B4A55AEC-2FF2-444D-A6B5-6B579AD17F36}">
    <text>This table shows the number corresponding to the expertise signaled in the left hand table: 1 = High, .666 = Medium, .333 = Low).  Do not directly edit this table.</text>
  </threadedComment>
</ThreadedComments>
</file>

<file path=xl/threadedComments/threadedComment7.xml><?xml version="1.0" encoding="utf-8"?>
<ThreadedComments xmlns="http://schemas.microsoft.com/office/spreadsheetml/2018/threadedcomments" xmlns:x="http://schemas.openxmlformats.org/spreadsheetml/2006/main">
  <threadedComment ref="C4" dT="2021-03-10T01:34:11.80" personId="{27691136-5A62-48AC-B24F-6B0F6A2B0FFE}" id="{5C901124-0D42-4DCF-91BE-06F23AD0334B}">
    <text>This table should have expertise against the keywords as L, M or H (or blank).</text>
  </threadedComment>
  <threadedComment ref="J4" dT="2021-03-10T01:35:33.43" personId="{27691136-5A62-48AC-B24F-6B0F6A2B0FFE}" id="{8BDCB397-F64D-4DAF-A253-20D500FD3EB4}">
    <text>This table shows the number corresponding to the expertise signaled in the left hand table: 1 = High, .666 = Medium, .333 = Low).  Do not directly edit this table.</text>
  </threadedComment>
</ThreadedComments>
</file>

<file path=xl/threadedComments/threadedComment8.xml><?xml version="1.0" encoding="utf-8"?>
<ThreadedComments xmlns="http://schemas.microsoft.com/office/spreadsheetml/2018/threadedcomments" xmlns:x="http://schemas.openxmlformats.org/spreadsheetml/2006/main">
  <threadedComment ref="N7" dT="2021-03-11T16:18:49.34" personId="{27691136-5A62-48AC-B24F-6B0F6A2B0FFE}" id="{49C2671D-2AB4-47B5-A432-3944624A45FE}">
    <text>To make/change assignments, change the number of the marker in these columns.
Then run ASSIGN MARKERS which will complete the assignments, and put the assignments in the Assignments Master sheet.</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1-20T18:48:42.56" personId="{27691136-5A62-48AC-B24F-6B0F6A2B0FFE}" id="{B2E202BD-8981-447C-96A9-0871FE43E0DB}">
    <text>Sum of H=3, M=2, L=1 for assignments.</text>
  </threadedComment>
  <threadedComment ref="J2" dT="2021-01-12T23:32:48.11" personId="{27691136-5A62-48AC-B24F-6B0F6A2B0FFE}" id="{FBF462C1-7ADB-4DF5-928C-7A15CFE7F7D8}">
    <text>Don't change the text in this cell (used by a Macro)</text>
  </threadedComment>
  <threadedComment ref="O2" dT="2021-01-12T23:32:43.02" personId="{27691136-5A62-48AC-B24F-6B0F6A2B0FFE}" id="{2BD7FB8C-B78E-410F-8438-54F84EE0A71D}">
    <text>Don't change the text in this cell (used by a Macro)</text>
  </threadedComment>
  <threadedComment ref="W2" dT="2021-01-18T16:39:13.49" personId="{27691136-5A62-48AC-B24F-6B0F6A2B0FFE}" id="{A52F1D39-7DF0-41D4-A110-3A7EE905332B}">
    <text>Compare this with the value set in the "Competition Parameters" sheet</text>
  </threadedComment>
  <threadedComment ref="W3" dT="2021-01-18T16:39:18.46" personId="{27691136-5A62-48AC-B24F-6B0F6A2B0FFE}" id="{AC28805C-A3ED-4717-936F-88F6EC993FF3}">
    <text>Compare this with the value set in the "Competition Parameters" sheet</text>
  </threadedComment>
  <threadedComment ref="W4" dT="2021-01-18T16:39:05.52" personId="{27691136-5A62-48AC-B24F-6B0F6A2B0FFE}" id="{9E399FA4-E617-4CDD-BFFE-AEBA9C111927}">
    <text>Compare this with the value set in the "Competition Parameters" sheet</text>
  </threadedComment>
  <threadedComment ref="W5" dT="2021-01-18T16:39:25.70" personId="{27691136-5A62-48AC-B24F-6B0F6A2B0FFE}" id="{260FFC86-4E83-42A1-9F46-24DBE65C298A}">
    <text>Compare this with the value set in the "Competition Parameters" sheet</text>
  </threadedComment>
  <threadedComment ref="W6" dT="2021-01-18T16:39:35.99" personId="{27691136-5A62-48AC-B24F-6B0F6A2B0FFE}" id="{EEA84102-6238-4352-A069-A7ABCBE14373}">
    <text>Compare this with the value set in the "Competition Parameters" sheet</text>
  </threadedComment>
  <threadedComment ref="W7" dT="2021-01-20T01:30:04.66" personId="{27691136-5A62-48AC-B24F-6B0F6A2B0FFE}" id="{E357DA89-6BA6-4ABE-9BAE-1A6F8A322409}">
    <text>sum of entries from Columns F to J, compare with (# of Markers) X (Target # per Marker) or (# of projects) X (target # of markers per project)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010F7-8431-4C2C-BF13-045ACDA0C836}">
  <sheetPr codeName="Sheet4">
    <tabColor theme="9" tint="0.79998168889431442"/>
  </sheetPr>
  <dimension ref="A1:M25"/>
  <sheetViews>
    <sheetView tabSelected="1" zoomScale="115" zoomScaleNormal="115" workbookViewId="0">
      <selection activeCell="D25" sqref="D25"/>
    </sheetView>
  </sheetViews>
  <sheetFormatPr defaultRowHeight="15" x14ac:dyDescent="0.25"/>
  <cols>
    <col min="1" max="1" width="3.5703125" customWidth="1"/>
    <col min="2" max="2" width="48.85546875" bestFit="1" customWidth="1"/>
    <col min="3" max="3" width="55.7109375" bestFit="1" customWidth="1"/>
    <col min="4" max="4" width="9.85546875" bestFit="1" customWidth="1"/>
    <col min="5" max="5" width="10.42578125" bestFit="1" customWidth="1"/>
    <col min="6" max="6" width="11.5703125" bestFit="1" customWidth="1"/>
    <col min="7" max="7" width="2" customWidth="1"/>
    <col min="8" max="8" width="19.42578125" customWidth="1"/>
  </cols>
  <sheetData>
    <row r="1" spans="1:13" x14ac:dyDescent="0.25">
      <c r="B1" s="1" t="s">
        <v>0</v>
      </c>
      <c r="C1" s="1" t="s">
        <v>1</v>
      </c>
      <c r="D1" s="2"/>
      <c r="E1" s="3"/>
    </row>
    <row r="2" spans="1:13" x14ac:dyDescent="0.25">
      <c r="A2" s="4"/>
      <c r="B2" s="5" t="s">
        <v>2</v>
      </c>
      <c r="C2" s="6">
        <f>Criteria!H1</f>
        <v>7</v>
      </c>
    </row>
    <row r="3" spans="1:13" x14ac:dyDescent="0.25">
      <c r="A3" s="4"/>
      <c r="B3" s="5" t="s">
        <v>3</v>
      </c>
      <c r="C3" s="6">
        <f>K14</f>
        <v>4</v>
      </c>
    </row>
    <row r="4" spans="1:13" x14ac:dyDescent="0.25">
      <c r="A4" s="4"/>
      <c r="B4" s="7" t="s">
        <v>4</v>
      </c>
      <c r="C4" s="8">
        <f>K18</f>
        <v>10</v>
      </c>
    </row>
    <row r="5" spans="1:13" x14ac:dyDescent="0.25">
      <c r="A5" s="4"/>
      <c r="B5" s="5" t="s">
        <v>5</v>
      </c>
      <c r="C5" s="9">
        <f>Keywords!G2</f>
        <v>4</v>
      </c>
      <c r="D5" s="4"/>
    </row>
    <row r="6" spans="1:13" x14ac:dyDescent="0.25">
      <c r="A6" s="4"/>
      <c r="B6" s="5" t="s">
        <v>6</v>
      </c>
      <c r="C6" s="10">
        <v>0.65</v>
      </c>
      <c r="D6" s="11" t="s">
        <v>7</v>
      </c>
      <c r="E6" s="11"/>
      <c r="F6" s="12"/>
    </row>
    <row r="7" spans="1:13" x14ac:dyDescent="0.25">
      <c r="A7" s="4"/>
      <c r="B7" s="5" t="s">
        <v>8</v>
      </c>
      <c r="C7" s="13" t="s">
        <v>9</v>
      </c>
      <c r="D7" s="14"/>
      <c r="E7" s="15"/>
    </row>
    <row r="8" spans="1:13" x14ac:dyDescent="0.25">
      <c r="A8" s="4"/>
      <c r="B8" s="5" t="s">
        <v>10</v>
      </c>
      <c r="C8" s="16" t="s">
        <v>11</v>
      </c>
      <c r="D8" s="12"/>
    </row>
    <row r="9" spans="1:13" x14ac:dyDescent="0.25">
      <c r="B9" s="5" t="s">
        <v>12</v>
      </c>
      <c r="C9" s="17"/>
      <c r="D9" s="18"/>
      <c r="E9" s="19"/>
    </row>
    <row r="10" spans="1:13" x14ac:dyDescent="0.25">
      <c r="A10" s="4"/>
      <c r="B10" s="20" t="s">
        <v>13</v>
      </c>
      <c r="C10" s="21"/>
      <c r="D10" s="366" t="s">
        <v>14</v>
      </c>
      <c r="E10" s="367"/>
      <c r="F10" s="368"/>
    </row>
    <row r="11" spans="1:13" x14ac:dyDescent="0.25">
      <c r="A11" s="4"/>
      <c r="B11" s="22" t="s">
        <v>15</v>
      </c>
      <c r="C11" s="23" t="s">
        <v>16</v>
      </c>
      <c r="D11" s="11" t="s">
        <v>17</v>
      </c>
      <c r="E11" s="24"/>
      <c r="F11" s="23"/>
    </row>
    <row r="12" spans="1:13" ht="15.75" thickBot="1" x14ac:dyDescent="0.3">
      <c r="A12" s="4"/>
      <c r="B12" s="22" t="s">
        <v>18</v>
      </c>
      <c r="C12" s="23" t="s">
        <v>19</v>
      </c>
      <c r="D12" s="11" t="s">
        <v>20</v>
      </c>
      <c r="E12" s="24"/>
      <c r="F12" s="23"/>
      <c r="H12" s="369" t="s">
        <v>21</v>
      </c>
      <c r="I12" s="369"/>
      <c r="J12" s="369"/>
      <c r="K12" s="369"/>
    </row>
    <row r="13" spans="1:13" x14ac:dyDescent="0.25">
      <c r="A13" s="4"/>
      <c r="B13" s="22" t="s">
        <v>22</v>
      </c>
      <c r="C13" s="23" t="s">
        <v>23</v>
      </c>
      <c r="D13" s="11" t="s">
        <v>20</v>
      </c>
      <c r="E13" s="24"/>
      <c r="F13" s="23"/>
      <c r="H13" s="25"/>
      <c r="I13" s="26"/>
      <c r="J13" s="26" t="s">
        <v>24</v>
      </c>
      <c r="K13" s="27">
        <f>Projects!L1</f>
        <v>10</v>
      </c>
      <c r="L13" s="370" t="s">
        <v>25</v>
      </c>
    </row>
    <row r="14" spans="1:13" x14ac:dyDescent="0.25">
      <c r="A14" s="4"/>
      <c r="B14" s="22" t="s">
        <v>26</v>
      </c>
      <c r="C14" s="23" t="s">
        <v>27</v>
      </c>
      <c r="D14" s="11" t="s">
        <v>20</v>
      </c>
      <c r="E14" s="24"/>
      <c r="F14" s="23"/>
      <c r="H14" s="28"/>
      <c r="I14" s="29"/>
      <c r="J14" s="29" t="s">
        <v>28</v>
      </c>
      <c r="K14" s="16">
        <v>4</v>
      </c>
      <c r="L14" s="371"/>
    </row>
    <row r="15" spans="1:13" x14ac:dyDescent="0.25">
      <c r="A15" s="4"/>
      <c r="B15" s="22" t="s">
        <v>29</v>
      </c>
      <c r="C15" s="23" t="s">
        <v>30</v>
      </c>
      <c r="D15" s="11" t="s">
        <v>20</v>
      </c>
      <c r="E15" s="24"/>
      <c r="F15" s="23"/>
      <c r="H15" s="28"/>
      <c r="I15" s="29"/>
      <c r="J15" s="29" t="s">
        <v>31</v>
      </c>
      <c r="K15" s="16">
        <v>4</v>
      </c>
      <c r="L15" s="371"/>
      <c r="M15" s="30" t="str">
        <f>IF(K15&gt;C3,"TOO MANY,MUST BE &lt; "&amp;C3,"")</f>
        <v/>
      </c>
    </row>
    <row r="16" spans="1:13" ht="15.75" thickBot="1" x14ac:dyDescent="0.3">
      <c r="A16" s="4"/>
      <c r="B16" s="22" t="s">
        <v>32</v>
      </c>
      <c r="C16" s="11" t="s">
        <v>33</v>
      </c>
      <c r="D16" s="31" t="s">
        <v>20</v>
      </c>
      <c r="E16" s="24"/>
      <c r="F16" s="23"/>
      <c r="H16" s="32"/>
      <c r="I16" s="33"/>
      <c r="J16" s="33" t="s">
        <v>34</v>
      </c>
      <c r="K16" s="34">
        <f>Markers!G1</f>
        <v>7</v>
      </c>
      <c r="L16" s="372"/>
    </row>
    <row r="17" spans="1:12" x14ac:dyDescent="0.25">
      <c r="A17" s="4"/>
      <c r="B17" s="22" t="s">
        <v>35</v>
      </c>
      <c r="C17" s="11" t="s">
        <v>36</v>
      </c>
      <c r="D17" s="31" t="s">
        <v>20</v>
      </c>
      <c r="E17" s="24"/>
      <c r="F17" s="23"/>
      <c r="H17" s="25"/>
      <c r="I17" s="26"/>
      <c r="J17" s="25" t="s">
        <v>37</v>
      </c>
      <c r="K17" s="27">
        <f>K14*K13</f>
        <v>40</v>
      </c>
      <c r="L17" s="373" t="s">
        <v>38</v>
      </c>
    </row>
    <row r="18" spans="1:12" x14ac:dyDescent="0.25">
      <c r="A18" s="4"/>
      <c r="B18" s="35" t="s">
        <v>39</v>
      </c>
      <c r="C18" s="36" t="b">
        <v>1</v>
      </c>
      <c r="D18" s="36" t="s">
        <v>40</v>
      </c>
      <c r="E18" s="19"/>
      <c r="F18" s="37"/>
      <c r="H18" s="28"/>
      <c r="I18" s="29"/>
      <c r="J18" s="28" t="s">
        <v>41</v>
      </c>
      <c r="K18" s="38">
        <v>10</v>
      </c>
      <c r="L18" s="374"/>
    </row>
    <row r="19" spans="1:12" ht="15.75" thickBot="1" x14ac:dyDescent="0.3">
      <c r="A19" s="4"/>
      <c r="B19" s="22" t="s">
        <v>42</v>
      </c>
      <c r="C19" s="11" t="b">
        <v>0</v>
      </c>
      <c r="D19" s="11" t="s">
        <v>40</v>
      </c>
      <c r="E19" s="24"/>
      <c r="F19" s="23"/>
      <c r="H19" s="32"/>
      <c r="I19" s="33"/>
      <c r="J19" s="32" t="s">
        <v>43</v>
      </c>
      <c r="K19" s="39">
        <f>IF(K16&gt;0,ROUND(K13/K16,0),0)</f>
        <v>1</v>
      </c>
      <c r="L19" s="375"/>
    </row>
    <row r="20" spans="1:12" x14ac:dyDescent="0.25">
      <c r="B20" s="5" t="s">
        <v>44</v>
      </c>
      <c r="C20" s="10" t="b">
        <v>1</v>
      </c>
      <c r="D20" s="31" t="s">
        <v>45</v>
      </c>
      <c r="E20" s="24"/>
      <c r="F20" s="23"/>
    </row>
    <row r="21" spans="1:12" x14ac:dyDescent="0.25">
      <c r="B21" s="22" t="s">
        <v>46</v>
      </c>
      <c r="C21" s="11" t="b">
        <v>1</v>
      </c>
      <c r="D21" s="31" t="s">
        <v>47</v>
      </c>
      <c r="E21" s="24"/>
      <c r="F21" s="23"/>
    </row>
    <row r="22" spans="1:12" x14ac:dyDescent="0.25">
      <c r="B22" s="22" t="s">
        <v>48</v>
      </c>
      <c r="C22" s="16" t="s">
        <v>49</v>
      </c>
      <c r="D22" s="376" t="s">
        <v>50</v>
      </c>
      <c r="E22" s="377"/>
      <c r="F22" s="378"/>
    </row>
    <row r="23" spans="1:12" x14ac:dyDescent="0.25">
      <c r="B23" s="22" t="s">
        <v>51</v>
      </c>
      <c r="C23" s="16" t="b">
        <v>0</v>
      </c>
      <c r="D23" s="4"/>
      <c r="E23" s="4"/>
      <c r="F23" s="4"/>
    </row>
    <row r="24" spans="1:12" x14ac:dyDescent="0.25">
      <c r="B24" s="40" t="s">
        <v>52</v>
      </c>
      <c r="C24" s="40"/>
    </row>
    <row r="25" spans="1:12" x14ac:dyDescent="0.25">
      <c r="B25" s="41" t="s">
        <v>53</v>
      </c>
      <c r="C25" s="42"/>
    </row>
  </sheetData>
  <mergeCells count="5">
    <mergeCell ref="D10:F10"/>
    <mergeCell ref="H12:K12"/>
    <mergeCell ref="L13:L16"/>
    <mergeCell ref="L17:L19"/>
    <mergeCell ref="D22:F2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E9B1-2334-4D2C-B6D5-38BACBFC00F3}">
  <sheetPr codeName="Sheet38">
    <tabColor theme="9" tint="0.79998168889431442"/>
  </sheetPr>
  <dimension ref="A1:Y12"/>
  <sheetViews>
    <sheetView zoomScaleNormal="100" workbookViewId="0">
      <pane ySplit="2" topLeftCell="A3" activePane="bottomLeft" state="frozen"/>
      <selection activeCell="B10" sqref="B10"/>
      <selection pane="bottomLeft" activeCell="J1" sqref="J1:M1048576"/>
    </sheetView>
  </sheetViews>
  <sheetFormatPr defaultRowHeight="15" x14ac:dyDescent="0.25"/>
  <cols>
    <col min="2" max="2" width="39" customWidth="1"/>
    <col min="3" max="3" width="12.28515625" bestFit="1" customWidth="1"/>
    <col min="4" max="4" width="3.7109375" bestFit="1" customWidth="1"/>
    <col min="5" max="5" width="5.28515625" customWidth="1"/>
    <col min="6" max="9" width="5.7109375" customWidth="1"/>
    <col min="10" max="13" width="14.7109375" customWidth="1"/>
    <col min="14" max="14" width="2.5703125" customWidth="1"/>
    <col min="15" max="15" width="3.7109375" bestFit="1" customWidth="1"/>
    <col min="16" max="16" width="36" bestFit="1" customWidth="1"/>
    <col min="17" max="17" width="3.7109375" bestFit="1" customWidth="1"/>
    <col min="18" max="18" width="18.85546875" bestFit="1" customWidth="1"/>
    <col min="19" max="19" width="3.7109375" bestFit="1" customWidth="1"/>
    <col min="20" max="20" width="9.140625" customWidth="1"/>
    <col min="21" max="21" width="2.5703125" customWidth="1"/>
    <col min="22" max="22" width="26" bestFit="1" customWidth="1"/>
    <col min="23" max="26" width="9.140625" customWidth="1"/>
  </cols>
  <sheetData>
    <row r="1" spans="1:25" ht="15.75" customHeight="1" thickBot="1" x14ac:dyDescent="0.3">
      <c r="A1" s="56"/>
      <c r="B1" s="56"/>
      <c r="C1" s="174"/>
      <c r="D1" s="175"/>
      <c r="E1" s="176"/>
      <c r="F1" s="177" t="s">
        <v>155</v>
      </c>
      <c r="G1" s="177"/>
      <c r="H1" s="177"/>
      <c r="I1" s="177"/>
      <c r="J1" s="178" t="s">
        <v>156</v>
      </c>
      <c r="K1" s="178"/>
      <c r="L1" s="178"/>
      <c r="M1" s="178"/>
      <c r="O1" s="179"/>
      <c r="P1" s="180" t="s">
        <v>157</v>
      </c>
      <c r="Q1" s="180"/>
      <c r="R1" s="180"/>
      <c r="S1" s="180"/>
      <c r="T1" s="181"/>
      <c r="V1" s="182" t="s">
        <v>158</v>
      </c>
      <c r="W1" s="182" t="s">
        <v>159</v>
      </c>
      <c r="X1" s="182" t="s">
        <v>160</v>
      </c>
      <c r="Y1" s="42"/>
    </row>
    <row r="2" spans="1:25" ht="126" x14ac:dyDescent="0.25">
      <c r="A2" s="183" t="str">
        <f>Projects!A1</f>
        <v>Project #</v>
      </c>
      <c r="B2" s="79" t="str">
        <f>Projects!B2</f>
        <v>Project Name</v>
      </c>
      <c r="C2" s="184" t="str">
        <f>Projects!D2</f>
        <v>Organization</v>
      </c>
      <c r="D2" s="185" t="s">
        <v>161</v>
      </c>
      <c r="E2" s="175" t="s">
        <v>162</v>
      </c>
      <c r="F2" s="85">
        <v>1</v>
      </c>
      <c r="G2" s="85">
        <v>2</v>
      </c>
      <c r="H2" s="85">
        <v>3</v>
      </c>
      <c r="I2" s="85">
        <v>4</v>
      </c>
      <c r="J2" s="85">
        <v>1</v>
      </c>
      <c r="K2" s="85">
        <v>2</v>
      </c>
      <c r="L2" s="85">
        <v>3</v>
      </c>
      <c r="M2" s="85">
        <v>4</v>
      </c>
      <c r="O2" s="186" t="s">
        <v>94</v>
      </c>
      <c r="P2" s="48" t="s">
        <v>95</v>
      </c>
      <c r="Q2" s="187" t="s">
        <v>163</v>
      </c>
      <c r="R2" s="49" t="s">
        <v>164</v>
      </c>
      <c r="S2" s="188" t="s">
        <v>165</v>
      </c>
      <c r="T2" s="189" t="s">
        <v>166</v>
      </c>
      <c r="V2" s="190" t="s">
        <v>24</v>
      </c>
      <c r="W2" s="191">
        <f>COUNTIF(Projects!B:B,"&lt;&gt;"&amp;"")-2</f>
        <v>10</v>
      </c>
      <c r="X2" s="192"/>
      <c r="Y2" s="193" t="s">
        <v>25</v>
      </c>
    </row>
    <row r="3" spans="1:25" x14ac:dyDescent="0.25">
      <c r="A3" s="51">
        <f>Projects!A3</f>
        <v>1</v>
      </c>
      <c r="B3" s="56" t="str">
        <f>Projects!B3</f>
        <v>Project 1</v>
      </c>
      <c r="C3" s="6">
        <f>Projects!D3</f>
        <v>0</v>
      </c>
      <c r="D3" s="6">
        <f>Projects!G3</f>
        <v>1</v>
      </c>
      <c r="E3" s="56" t="str">
        <f>IF(AND(D3&gt;0,OR(D3=F3,D3=G3,D3=H3,D3=I3)),"XX","")</f>
        <v/>
      </c>
      <c r="F3" s="168">
        <v>7</v>
      </c>
      <c r="G3" s="168">
        <v>3</v>
      </c>
      <c r="H3" s="168">
        <v>5</v>
      </c>
      <c r="I3" s="168">
        <v>4</v>
      </c>
      <c r="J3" s="59" t="str">
        <f t="shared" ref="J3:J12" si="0">IF(ISNA(VLOOKUP(F3,$O:$P,2,FALSE)),"",VLOOKUP(F3,$O:$P,2,FALSE))</f>
        <v>Marker 7</v>
      </c>
      <c r="K3" s="59" t="str">
        <f t="shared" ref="K3:K12" si="1">IF(ISNA(VLOOKUP(G3,$O:$P,2,FALSE)),"",VLOOKUP(G3,$O:$P,2,FALSE))</f>
        <v>Marker 3</v>
      </c>
      <c r="L3" s="59" t="str">
        <f t="shared" ref="L3:L12" si="2">IF(ISNA(VLOOKUP(H3,$O:$P,2,FALSE)),"",VLOOKUP(H3,$O:$P,2,FALSE))</f>
        <v>Marker 5</v>
      </c>
      <c r="M3" s="59" t="str">
        <f t="shared" ref="M3:M12" si="3">IF(ISNA(VLOOKUP(I3,$O:$P,2,FALSE)),"",VLOOKUP(I3,$O:$P,2,FALSE))</f>
        <v>Marker 4</v>
      </c>
      <c r="O3" s="167">
        <f>IF(LEN(Markers!A2)&gt;0,Markers!A2,"")</f>
        <v>1</v>
      </c>
      <c r="P3" s="51" t="str">
        <f>IF(ISNA(VLOOKUP(O3,Markers!$A:$B,2,FALSE)),"",VLOOKUP(O3,Markers!$A:$B,2,FALSE))</f>
        <v>Marker 1</v>
      </c>
      <c r="Q3" s="6">
        <f>IF(LEN(O3)&gt;0,COUNTIF($F$3:$I$12,O3),"")</f>
        <v>6</v>
      </c>
      <c r="R3" s="51" t="str">
        <f>IF(Q3=0,"NONE",IF(Q3&gt;W$5,"Too Many",IF(Q3&lt;W$5,"Add","")))</f>
        <v/>
      </c>
      <c r="S3" s="51">
        <f>IF(LEN(O3)&gt;0,COUNTIF($F$3:$F$12,O3),"")</f>
        <v>2</v>
      </c>
      <c r="T3" s="194" t="str">
        <f>IF(S3=0,"NONE",IF(S3&gt;W$6,"Too Many",IF(S3&lt;W$6,"Add","")))</f>
        <v/>
      </c>
      <c r="V3" s="195" t="s">
        <v>34</v>
      </c>
      <c r="W3" s="60">
        <f>COUNTIF(Markers!B:B,"&lt;&gt;"&amp;"")-1</f>
        <v>7</v>
      </c>
      <c r="X3" s="56"/>
      <c r="Y3" s="196"/>
    </row>
    <row r="4" spans="1:25" x14ac:dyDescent="0.25">
      <c r="A4" s="51">
        <f>Projects!A4</f>
        <v>2</v>
      </c>
      <c r="B4" s="56" t="str">
        <f>Projects!B4</f>
        <v>Project 2</v>
      </c>
      <c r="C4" s="6">
        <f>Projects!D4</f>
        <v>0</v>
      </c>
      <c r="D4" s="6">
        <f>Projects!G4</f>
        <v>2</v>
      </c>
      <c r="E4" s="56" t="str">
        <f t="shared" ref="E4:E12" si="4">IF(AND(D4&gt;0,OR(D4=F4,D4=G4,D4=H4,D4=I4)),"XX","")</f>
        <v/>
      </c>
      <c r="F4" s="168">
        <v>5</v>
      </c>
      <c r="G4" s="168">
        <v>6</v>
      </c>
      <c r="H4" s="168">
        <v>7</v>
      </c>
      <c r="I4" s="168">
        <v>3</v>
      </c>
      <c r="J4" s="59" t="str">
        <f t="shared" si="0"/>
        <v>Marker 5</v>
      </c>
      <c r="K4" s="59" t="str">
        <f t="shared" si="1"/>
        <v>Marker 6</v>
      </c>
      <c r="L4" s="59" t="str">
        <f t="shared" si="2"/>
        <v>Marker 7</v>
      </c>
      <c r="M4" s="59" t="str">
        <f t="shared" si="3"/>
        <v>Marker 3</v>
      </c>
      <c r="O4" s="167">
        <f>IF(LEN(Markers!A3)&gt;0,Markers!A3,"")</f>
        <v>2</v>
      </c>
      <c r="P4" s="51" t="str">
        <f>IF(ISNA(VLOOKUP(O4,Markers!$A:$B,2,FALSE)),"",VLOOKUP(O4,Markers!$A:$B,2,FALSE))</f>
        <v>Marker 2</v>
      </c>
      <c r="Q4" s="6">
        <f t="shared" ref="Q4:Q9" si="5">IF(LEN(O4)&gt;0,COUNTIF($F$3:$I$12,O4),"")</f>
        <v>6</v>
      </c>
      <c r="R4" s="51" t="str">
        <f t="shared" ref="R4:R9" si="6">IF(Q4=0,"NONE",IF(Q4&gt;W$5,"Too Many",IF(Q4&lt;W$5,"Add","")))</f>
        <v/>
      </c>
      <c r="S4" s="51">
        <f t="shared" ref="S4:S9" si="7">IF(LEN(O4)&gt;0,COUNTIF($F$3:$F$12,O4),"")</f>
        <v>2</v>
      </c>
      <c r="T4" s="194" t="str">
        <f t="shared" ref="T4:T9" si="8">IF(S4=0,"NONE",IF(S4&gt;W$6,"Too Many",IF(S4&lt;W$6,"Add","")))</f>
        <v/>
      </c>
      <c r="V4" s="195" t="s">
        <v>28</v>
      </c>
      <c r="W4" s="60">
        <f>'Competition Parameters'!C3</f>
        <v>4</v>
      </c>
      <c r="X4" s="56" t="str">
        <f>IF(W4&gt;'Competition Parameters'!C3,"above limit in Competition Parameters sheet","")</f>
        <v/>
      </c>
      <c r="Y4" s="197"/>
    </row>
    <row r="5" spans="1:25" ht="15" customHeight="1" x14ac:dyDescent="0.25">
      <c r="A5" s="51">
        <f>Projects!A5</f>
        <v>3</v>
      </c>
      <c r="B5" s="56" t="str">
        <f>Projects!B5</f>
        <v>Project 3</v>
      </c>
      <c r="C5" s="6">
        <f>Projects!D5</f>
        <v>0</v>
      </c>
      <c r="D5" s="6">
        <f>Projects!G5</f>
        <v>3</v>
      </c>
      <c r="E5" s="56" t="str">
        <f t="shared" si="4"/>
        <v/>
      </c>
      <c r="F5" s="168">
        <v>1</v>
      </c>
      <c r="G5" s="168">
        <v>7</v>
      </c>
      <c r="H5" s="168">
        <v>2</v>
      </c>
      <c r="I5" s="168">
        <v>5</v>
      </c>
      <c r="J5" s="59" t="str">
        <f t="shared" si="0"/>
        <v>Marker 1</v>
      </c>
      <c r="K5" s="59" t="str">
        <f t="shared" si="1"/>
        <v>Marker 7</v>
      </c>
      <c r="L5" s="59" t="str">
        <f t="shared" si="2"/>
        <v>Marker 2</v>
      </c>
      <c r="M5" s="59" t="str">
        <f t="shared" si="3"/>
        <v>Marker 5</v>
      </c>
      <c r="O5" s="167">
        <f>IF(LEN(Markers!A4)&gt;0,Markers!A4,"")</f>
        <v>3</v>
      </c>
      <c r="P5" s="51" t="str">
        <f>IF(ISNA(VLOOKUP(O5,Markers!$A:$B,2,FALSE)),"",VLOOKUP(O5,Markers!$A:$B,2,FALSE))</f>
        <v>Marker 3</v>
      </c>
      <c r="Q5" s="6">
        <f t="shared" si="5"/>
        <v>6</v>
      </c>
      <c r="R5" s="51" t="str">
        <f t="shared" si="6"/>
        <v/>
      </c>
      <c r="S5" s="51">
        <f t="shared" si="7"/>
        <v>1</v>
      </c>
      <c r="T5" s="194" t="str">
        <f t="shared" si="8"/>
        <v>Add</v>
      </c>
      <c r="V5" s="195" t="s">
        <v>41</v>
      </c>
      <c r="W5" s="60">
        <f>ROUND(W2*W4/W3,0)</f>
        <v>6</v>
      </c>
      <c r="X5" s="56" t="str">
        <f>IF(W5&gt;'Competition Parameters'!C4,"above limit in Competition Parameters sheet","")</f>
        <v/>
      </c>
      <c r="Y5" s="198"/>
    </row>
    <row r="6" spans="1:25" x14ac:dyDescent="0.25">
      <c r="A6" s="51">
        <f>Projects!A6</f>
        <v>4</v>
      </c>
      <c r="B6" s="56" t="str">
        <f>Projects!B6</f>
        <v>Project 4</v>
      </c>
      <c r="C6" s="6">
        <f>Projects!D6</f>
        <v>0</v>
      </c>
      <c r="D6" s="6">
        <f>Projects!G6</f>
        <v>4</v>
      </c>
      <c r="E6" s="56" t="str">
        <f t="shared" si="4"/>
        <v/>
      </c>
      <c r="F6" s="168">
        <v>3</v>
      </c>
      <c r="G6" s="168">
        <v>1</v>
      </c>
      <c r="H6" s="168">
        <v>5</v>
      </c>
      <c r="I6" s="168">
        <v>6</v>
      </c>
      <c r="J6" s="59" t="str">
        <f t="shared" si="0"/>
        <v>Marker 3</v>
      </c>
      <c r="K6" s="59" t="str">
        <f t="shared" si="1"/>
        <v>Marker 1</v>
      </c>
      <c r="L6" s="59" t="str">
        <f t="shared" si="2"/>
        <v>Marker 5</v>
      </c>
      <c r="M6" s="59" t="str">
        <f t="shared" si="3"/>
        <v>Marker 6</v>
      </c>
      <c r="O6" s="167">
        <f>IF(LEN(Markers!A5)&gt;0,Markers!A5,"")</f>
        <v>4</v>
      </c>
      <c r="P6" s="51" t="str">
        <f>IF(ISNA(VLOOKUP(O6,Markers!$A:$B,2,FALSE)),"",VLOOKUP(O6,Markers!$A:$B,2,FALSE))</f>
        <v>Marker 4</v>
      </c>
      <c r="Q6" s="6">
        <f t="shared" si="5"/>
        <v>6</v>
      </c>
      <c r="R6" s="51" t="str">
        <f t="shared" si="6"/>
        <v/>
      </c>
      <c r="S6" s="51">
        <f t="shared" si="7"/>
        <v>2</v>
      </c>
      <c r="T6" s="194" t="str">
        <f t="shared" si="8"/>
        <v/>
      </c>
      <c r="V6" s="195" t="s">
        <v>43</v>
      </c>
      <c r="W6" s="60">
        <f>INT(W2/W3+1)</f>
        <v>2</v>
      </c>
      <c r="X6" s="56"/>
      <c r="Y6" s="199" t="s">
        <v>38</v>
      </c>
    </row>
    <row r="7" spans="1:25" ht="15.75" thickBot="1" x14ac:dyDescent="0.3">
      <c r="A7" s="51">
        <f>Projects!A7</f>
        <v>5</v>
      </c>
      <c r="B7" s="56" t="str">
        <f>Projects!B7</f>
        <v>Project 5</v>
      </c>
      <c r="C7" s="6">
        <f>Projects!D7</f>
        <v>0</v>
      </c>
      <c r="D7" s="6">
        <f>Projects!G7</f>
        <v>5</v>
      </c>
      <c r="E7" s="56" t="str">
        <f t="shared" si="4"/>
        <v/>
      </c>
      <c r="F7" s="168">
        <v>2</v>
      </c>
      <c r="G7" s="168">
        <v>4</v>
      </c>
      <c r="H7" s="168">
        <v>1</v>
      </c>
      <c r="I7" s="168">
        <v>7</v>
      </c>
      <c r="J7" s="59" t="str">
        <f t="shared" si="0"/>
        <v>Marker 2</v>
      </c>
      <c r="K7" s="59" t="str">
        <f t="shared" si="1"/>
        <v>Marker 4</v>
      </c>
      <c r="L7" s="59" t="str">
        <f t="shared" si="2"/>
        <v>Marker 1</v>
      </c>
      <c r="M7" s="59" t="str">
        <f t="shared" si="3"/>
        <v>Marker 7</v>
      </c>
      <c r="O7" s="167">
        <f>IF(LEN(Markers!A6)&gt;0,Markers!A6,"")</f>
        <v>5</v>
      </c>
      <c r="P7" s="51" t="str">
        <f>IF(ISNA(VLOOKUP(O7,Markers!$A:$B,2,FALSE)),"",VLOOKUP(O7,Markers!$A:$B,2,FALSE))</f>
        <v>Marker 5</v>
      </c>
      <c r="Q7" s="6">
        <f t="shared" si="5"/>
        <v>6</v>
      </c>
      <c r="R7" s="51" t="str">
        <f t="shared" si="6"/>
        <v/>
      </c>
      <c r="S7" s="51">
        <f t="shared" si="7"/>
        <v>2</v>
      </c>
      <c r="T7" s="194" t="str">
        <f t="shared" si="8"/>
        <v/>
      </c>
      <c r="V7" s="200" t="s">
        <v>167</v>
      </c>
      <c r="W7" s="201">
        <f>COUNTIF(F:I,"&lt;&gt;"&amp;"")-W4-1</f>
        <v>40</v>
      </c>
      <c r="X7" s="202"/>
      <c r="Y7" s="203"/>
    </row>
    <row r="8" spans="1:25" x14ac:dyDescent="0.25">
      <c r="A8" s="51">
        <f>Projects!A8</f>
        <v>6</v>
      </c>
      <c r="B8" s="56" t="str">
        <f>Projects!B8</f>
        <v>Project 6</v>
      </c>
      <c r="C8" s="6">
        <f>Projects!D8</f>
        <v>0</v>
      </c>
      <c r="D8" s="6">
        <f>Projects!G8</f>
        <v>6</v>
      </c>
      <c r="E8" s="56" t="str">
        <f t="shared" si="4"/>
        <v/>
      </c>
      <c r="F8" s="168">
        <v>4</v>
      </c>
      <c r="G8" s="168">
        <v>3</v>
      </c>
      <c r="H8" s="168">
        <v>7</v>
      </c>
      <c r="I8" s="168">
        <v>1</v>
      </c>
      <c r="J8" s="59" t="str">
        <f t="shared" si="0"/>
        <v>Marker 4</v>
      </c>
      <c r="K8" s="59" t="str">
        <f t="shared" si="1"/>
        <v>Marker 3</v>
      </c>
      <c r="L8" s="59" t="str">
        <f t="shared" si="2"/>
        <v>Marker 7</v>
      </c>
      <c r="M8" s="59" t="str">
        <f t="shared" si="3"/>
        <v>Marker 1</v>
      </c>
      <c r="O8" s="167">
        <f>IF(LEN(Markers!A7)&gt;0,Markers!A7,"")</f>
        <v>6</v>
      </c>
      <c r="P8" s="51" t="str">
        <f>IF(ISNA(VLOOKUP(O8,Markers!$A:$B,2,FALSE)),"",VLOOKUP(O8,Markers!$A:$B,2,FALSE))</f>
        <v>Marker 6</v>
      </c>
      <c r="Q8" s="6">
        <f t="shared" si="5"/>
        <v>5</v>
      </c>
      <c r="R8" s="51" t="str">
        <f t="shared" si="6"/>
        <v>Add</v>
      </c>
      <c r="S8" s="51">
        <f t="shared" si="7"/>
        <v>0</v>
      </c>
      <c r="T8" s="194" t="str">
        <f t="shared" si="8"/>
        <v>NONE</v>
      </c>
    </row>
    <row r="9" spans="1:25" x14ac:dyDescent="0.25">
      <c r="A9" s="51">
        <f>Projects!A9</f>
        <v>7</v>
      </c>
      <c r="B9" s="56" t="str">
        <f>Projects!B9</f>
        <v>Project 7</v>
      </c>
      <c r="C9" s="6">
        <f>Projects!D9</f>
        <v>0</v>
      </c>
      <c r="D9" s="6">
        <f>Projects!G9</f>
        <v>7</v>
      </c>
      <c r="E9" s="56" t="str">
        <f t="shared" si="4"/>
        <v/>
      </c>
      <c r="F9" s="168">
        <v>5</v>
      </c>
      <c r="G9" s="168">
        <v>6</v>
      </c>
      <c r="H9" s="168">
        <v>3</v>
      </c>
      <c r="I9" s="168">
        <v>2</v>
      </c>
      <c r="J9" s="59" t="str">
        <f t="shared" si="0"/>
        <v>Marker 5</v>
      </c>
      <c r="K9" s="59" t="str">
        <f t="shared" si="1"/>
        <v>Marker 6</v>
      </c>
      <c r="L9" s="59" t="str">
        <f t="shared" si="2"/>
        <v>Marker 3</v>
      </c>
      <c r="M9" s="59" t="str">
        <f t="shared" si="3"/>
        <v>Marker 2</v>
      </c>
      <c r="O9" s="167">
        <f>IF(LEN(Markers!A8)&gt;0,Markers!A8,"")</f>
        <v>7</v>
      </c>
      <c r="P9" s="51" t="str">
        <f>IF(ISNA(VLOOKUP(O9,Markers!$A:$B,2,FALSE)),"",VLOOKUP(O9,Markers!$A:$B,2,FALSE))</f>
        <v>Marker 7</v>
      </c>
      <c r="Q9" s="6">
        <f t="shared" si="5"/>
        <v>5</v>
      </c>
      <c r="R9" s="51" t="str">
        <f t="shared" si="6"/>
        <v>Add</v>
      </c>
      <c r="S9" s="51">
        <f t="shared" si="7"/>
        <v>1</v>
      </c>
      <c r="T9" s="194" t="str">
        <f t="shared" si="8"/>
        <v>Add</v>
      </c>
    </row>
    <row r="10" spans="1:25" x14ac:dyDescent="0.25">
      <c r="A10" s="51">
        <f>Projects!A10</f>
        <v>8</v>
      </c>
      <c r="B10" s="56" t="str">
        <f>Projects!B10</f>
        <v>Project 8</v>
      </c>
      <c r="C10" s="6">
        <f>Projects!D10</f>
        <v>0</v>
      </c>
      <c r="D10" s="6">
        <f>Projects!G10</f>
        <v>0</v>
      </c>
      <c r="E10" s="56" t="str">
        <f t="shared" si="4"/>
        <v/>
      </c>
      <c r="F10" s="168">
        <v>4</v>
      </c>
      <c r="G10" s="168">
        <v>2</v>
      </c>
      <c r="H10" s="168">
        <v>6</v>
      </c>
      <c r="I10" s="168">
        <v>3</v>
      </c>
      <c r="J10" s="59" t="str">
        <f t="shared" si="0"/>
        <v>Marker 4</v>
      </c>
      <c r="K10" s="59" t="str">
        <f t="shared" si="1"/>
        <v>Marker 2</v>
      </c>
      <c r="L10" s="59" t="str">
        <f t="shared" si="2"/>
        <v>Marker 6</v>
      </c>
      <c r="M10" s="59" t="str">
        <f t="shared" si="3"/>
        <v>Marker 3</v>
      </c>
    </row>
    <row r="11" spans="1:25" x14ac:dyDescent="0.25">
      <c r="A11" s="51">
        <f>Projects!A11</f>
        <v>9</v>
      </c>
      <c r="B11" s="56" t="str">
        <f>Projects!B11</f>
        <v>Project 9</v>
      </c>
      <c r="C11" s="6">
        <f>Projects!D11</f>
        <v>0</v>
      </c>
      <c r="D11" s="6">
        <f>Projects!G11</f>
        <v>0</v>
      </c>
      <c r="E11" s="56" t="str">
        <f t="shared" si="4"/>
        <v/>
      </c>
      <c r="F11" s="168">
        <v>2</v>
      </c>
      <c r="G11" s="168">
        <v>4</v>
      </c>
      <c r="H11" s="168">
        <v>1</v>
      </c>
      <c r="I11" s="168">
        <v>5</v>
      </c>
      <c r="J11" s="59" t="str">
        <f t="shared" si="0"/>
        <v>Marker 2</v>
      </c>
      <c r="K11" s="59" t="str">
        <f t="shared" si="1"/>
        <v>Marker 4</v>
      </c>
      <c r="L11" s="59" t="str">
        <f t="shared" si="2"/>
        <v>Marker 1</v>
      </c>
      <c r="M11" s="59" t="str">
        <f t="shared" si="3"/>
        <v>Marker 5</v>
      </c>
    </row>
    <row r="12" spans="1:25" x14ac:dyDescent="0.25">
      <c r="A12" s="51">
        <f>Projects!A12</f>
        <v>10</v>
      </c>
      <c r="B12" s="56" t="str">
        <f>Projects!B12</f>
        <v>Project 10</v>
      </c>
      <c r="C12" s="6">
        <f>Projects!D12</f>
        <v>0</v>
      </c>
      <c r="D12" s="6">
        <f>Projects!G12</f>
        <v>0</v>
      </c>
      <c r="E12" s="56" t="str">
        <f t="shared" si="4"/>
        <v/>
      </c>
      <c r="F12" s="168">
        <v>1</v>
      </c>
      <c r="G12" s="168">
        <v>6</v>
      </c>
      <c r="H12" s="168">
        <v>2</v>
      </c>
      <c r="I12" s="168">
        <v>4</v>
      </c>
      <c r="J12" s="59" t="str">
        <f t="shared" si="0"/>
        <v>Marker 1</v>
      </c>
      <c r="K12" s="59" t="str">
        <f t="shared" si="1"/>
        <v>Marker 6</v>
      </c>
      <c r="L12" s="59" t="str">
        <f t="shared" si="2"/>
        <v>Marker 2</v>
      </c>
      <c r="M12" s="59" t="str">
        <f t="shared" si="3"/>
        <v>Marker 4</v>
      </c>
    </row>
  </sheetData>
  <conditionalFormatting sqref="D3:D12">
    <cfRule type="cellIs" dxfId="0" priority="2" operator="equal">
      <formula>"X"</formula>
    </cfRule>
  </conditionalFormatting>
  <conditionalFormatting sqref="E3:E12">
    <cfRule type="dataBar" priority="32">
      <dataBar>
        <cfvo type="min"/>
        <cfvo type="max"/>
        <color rgb="FF63C384"/>
      </dataBar>
      <extLst>
        <ext xmlns:x14="http://schemas.microsoft.com/office/spreadsheetml/2009/9/main" uri="{B025F937-C7B1-47D3-B67F-A62EFF666E3E}">
          <x14:id>{0676AAD3-73E3-4A23-A36D-ED0FE034C3BA}</x14:id>
        </ext>
      </extLst>
    </cfRule>
  </conditionalFormatting>
  <conditionalFormatting sqref="Q3:Q9">
    <cfRule type="colorScale" priority="33">
      <colorScale>
        <cfvo type="min"/>
        <cfvo type="max"/>
        <color rgb="FFFF0000"/>
        <color theme="0"/>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0676AAD3-73E3-4A23-A36D-ED0FE034C3BA}">
            <x14:dataBar minLength="0" maxLength="100" border="1" negativeBarBorderColorSameAsPositive="0">
              <x14:cfvo type="autoMin"/>
              <x14:cfvo type="autoMax"/>
              <x14:borderColor rgb="FF63C384"/>
              <x14:negativeFillColor rgb="FFFF0000"/>
              <x14:negativeBorderColor rgb="FFFF0000"/>
              <x14:axisColor rgb="FF000000"/>
            </x14:dataBar>
          </x14:cfRule>
          <xm:sqref>E3:E12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12AF8-EFC4-45BC-BD47-FE05C6C80D1F}">
  <sheetPr codeName="Sheet35">
    <tabColor theme="9" tint="0.79998168889431442"/>
  </sheetPr>
  <dimension ref="A1:BH82"/>
  <sheetViews>
    <sheetView zoomScale="145" zoomScaleNormal="145" workbookViewId="0">
      <pane ySplit="4" topLeftCell="A38" activePane="bottomLeft" state="frozen"/>
      <selection activeCell="B10" sqref="B10"/>
      <selection pane="bottomLeft" activeCell="W44" sqref="W44"/>
    </sheetView>
  </sheetViews>
  <sheetFormatPr defaultRowHeight="15" x14ac:dyDescent="0.25"/>
  <cols>
    <col min="1" max="1" width="3.7109375" bestFit="1" customWidth="1"/>
    <col min="2" max="2" width="8.7109375" bestFit="1" customWidth="1"/>
    <col min="3" max="5" width="3.7109375" bestFit="1" customWidth="1"/>
    <col min="6" max="6" width="13.140625" bestFit="1" customWidth="1"/>
    <col min="7" max="7" width="10" bestFit="1" customWidth="1"/>
    <col min="8" max="14" width="7.5703125" customWidth="1"/>
    <col min="15" max="16" width="3.7109375" bestFit="1" customWidth="1"/>
    <col min="17" max="19" width="3.7109375" style="4" bestFit="1" customWidth="1"/>
    <col min="20" max="23" width="3.7109375" bestFit="1" customWidth="1"/>
    <col min="24" max="24" width="3.7109375" style="4" bestFit="1" customWidth="1"/>
    <col min="25" max="25" width="4.7109375" style="4" bestFit="1" customWidth="1"/>
    <col min="26" max="26" width="2.5703125" style="4" customWidth="1"/>
    <col min="27" max="27" width="16.42578125" style="4" bestFit="1" customWidth="1"/>
    <col min="28" max="28" width="8.7109375" style="4" bestFit="1" customWidth="1"/>
    <col min="29" max="29" width="3.7109375" style="4" bestFit="1" customWidth="1"/>
    <col min="30" max="30" width="6" bestFit="1" customWidth="1"/>
    <col min="31" max="31" width="3.7109375" bestFit="1" customWidth="1"/>
    <col min="32" max="32" width="5.7109375" style="258" bestFit="1" customWidth="1"/>
    <col min="33" max="33" width="2.5703125" customWidth="1"/>
    <col min="34" max="35" width="3.7109375" style="4" bestFit="1" customWidth="1"/>
    <col min="36" max="36" width="8.7109375" bestFit="1" customWidth="1"/>
    <col min="37" max="37" width="3.7109375" bestFit="1" customWidth="1"/>
    <col min="38" max="38" width="3.7109375" style="100" bestFit="1" customWidth="1"/>
    <col min="39" max="39" width="6.5703125" bestFit="1" customWidth="1"/>
    <col min="40" max="40" width="7.5703125" style="212" customWidth="1"/>
    <col min="41" max="46" width="7.5703125" customWidth="1"/>
    <col min="47" max="47" width="6" bestFit="1" customWidth="1"/>
    <col min="48" max="48" width="2.5703125" customWidth="1"/>
    <col min="49" max="49" width="3.7109375" bestFit="1" customWidth="1"/>
    <col min="50" max="50" width="9.7109375" bestFit="1" customWidth="1"/>
    <col min="51" max="57" width="7.5703125" customWidth="1"/>
    <col min="58" max="58" width="3.7109375" bestFit="1" customWidth="1"/>
    <col min="59" max="60" width="6" bestFit="1" customWidth="1"/>
  </cols>
  <sheetData>
    <row r="1" spans="1:60" ht="15.75" thickBot="1" x14ac:dyDescent="0.3">
      <c r="A1" s="463" t="s">
        <v>168</v>
      </c>
      <c r="B1" s="464"/>
      <c r="C1" s="464"/>
      <c r="D1" s="464"/>
      <c r="E1" s="464"/>
      <c r="F1" s="464"/>
      <c r="G1" s="205" t="s">
        <v>56</v>
      </c>
      <c r="H1" s="206">
        <v>1</v>
      </c>
      <c r="I1" s="206">
        <v>2</v>
      </c>
      <c r="J1" s="206">
        <v>3</v>
      </c>
      <c r="K1" s="206">
        <v>4</v>
      </c>
      <c r="L1" s="206">
        <v>5</v>
      </c>
      <c r="M1" s="206">
        <v>6</v>
      </c>
      <c r="N1" s="206">
        <v>7</v>
      </c>
      <c r="O1" s="206">
        <f>H1</f>
        <v>1</v>
      </c>
      <c r="P1" s="206">
        <f t="shared" ref="P1:U1" si="0">I1</f>
        <v>2</v>
      </c>
      <c r="Q1" s="206">
        <f t="shared" si="0"/>
        <v>3</v>
      </c>
      <c r="R1" s="206">
        <f t="shared" si="0"/>
        <v>4</v>
      </c>
      <c r="S1" s="206">
        <f t="shared" si="0"/>
        <v>5</v>
      </c>
      <c r="T1" s="206">
        <f t="shared" si="0"/>
        <v>6</v>
      </c>
      <c r="U1" s="206">
        <f t="shared" si="0"/>
        <v>7</v>
      </c>
      <c r="V1" s="465">
        <f>COUNTIF(O1:U1,"&lt;&gt;"&amp;"")</f>
        <v>7</v>
      </c>
      <c r="W1" s="466"/>
      <c r="X1" s="466"/>
      <c r="Y1" s="207"/>
      <c r="Z1"/>
      <c r="AA1" s="208" t="s">
        <v>169</v>
      </c>
      <c r="AB1" s="209"/>
      <c r="AC1" s="467" t="s">
        <v>170</v>
      </c>
      <c r="AD1" s="467"/>
      <c r="AE1" s="467"/>
      <c r="AF1" s="467"/>
      <c r="AG1" s="467"/>
      <c r="AH1" s="467"/>
      <c r="AI1" s="467"/>
      <c r="AJ1" s="467"/>
      <c r="AK1" s="210"/>
      <c r="AL1" s="210"/>
      <c r="AM1" s="210"/>
      <c r="AN1" s="210"/>
      <c r="AO1" s="210"/>
      <c r="AP1" s="210"/>
      <c r="AQ1" s="210"/>
      <c r="AR1" s="468" t="str">
        <f>IF('Competition Parameters'!C20,"NORMALIZED ","(NOT NORMALIZED)") &amp;" SCORING - PER PROJECT - FINAL RANKING"</f>
        <v>NORMALIZED  SCORING - PER PROJECT - FINAL RANKING</v>
      </c>
      <c r="AS1" s="468"/>
      <c r="AT1" s="468"/>
      <c r="AU1" s="468"/>
      <c r="AV1" s="468"/>
      <c r="AW1" s="468"/>
      <c r="AX1" s="468"/>
      <c r="AY1" s="468"/>
      <c r="AZ1" s="468"/>
      <c r="BA1" s="468"/>
      <c r="BB1" s="211"/>
      <c r="BC1" s="211"/>
      <c r="BD1" s="211"/>
      <c r="BE1" s="211"/>
      <c r="BF1" s="211"/>
      <c r="BG1" s="211"/>
      <c r="BH1" s="212"/>
    </row>
    <row r="2" spans="1:60" s="58" customFormat="1" ht="49.5" customHeight="1" x14ac:dyDescent="0.25">
      <c r="A2" s="402" t="s">
        <v>94</v>
      </c>
      <c r="B2" s="402" t="s">
        <v>95</v>
      </c>
      <c r="C2" s="402" t="s">
        <v>171</v>
      </c>
      <c r="D2" s="402" t="s">
        <v>141</v>
      </c>
      <c r="E2" s="402" t="s">
        <v>72</v>
      </c>
      <c r="F2" s="214"/>
      <c r="G2" s="215" t="s">
        <v>172</v>
      </c>
      <c r="H2" s="216" t="s">
        <v>62</v>
      </c>
      <c r="I2" s="216" t="s">
        <v>64</v>
      </c>
      <c r="J2" s="216" t="s">
        <v>65</v>
      </c>
      <c r="K2" s="216" t="s">
        <v>66</v>
      </c>
      <c r="L2" s="216" t="s">
        <v>67</v>
      </c>
      <c r="M2" s="216" t="s">
        <v>68</v>
      </c>
      <c r="N2" s="216" t="s">
        <v>71</v>
      </c>
      <c r="O2" s="405" t="s">
        <v>187</v>
      </c>
      <c r="P2" s="405" t="s">
        <v>187</v>
      </c>
      <c r="Q2" s="405" t="s">
        <v>187</v>
      </c>
      <c r="R2" s="405" t="s">
        <v>187</v>
      </c>
      <c r="S2" s="405" t="s">
        <v>187</v>
      </c>
      <c r="T2" s="405" t="s">
        <v>187</v>
      </c>
      <c r="U2" s="405" t="s">
        <v>187</v>
      </c>
      <c r="V2" s="217" t="s">
        <v>173</v>
      </c>
      <c r="W2" s="402" t="s">
        <v>174</v>
      </c>
      <c r="X2" s="402" t="s">
        <v>175</v>
      </c>
      <c r="Y2" s="402" t="s">
        <v>176</v>
      </c>
      <c r="AA2" s="398" t="s">
        <v>94</v>
      </c>
      <c r="AB2" s="398" t="s">
        <v>95</v>
      </c>
      <c r="AC2" s="398" t="s">
        <v>177</v>
      </c>
      <c r="AD2" s="398" t="s">
        <v>178</v>
      </c>
      <c r="AE2" s="219" t="s">
        <v>179</v>
      </c>
      <c r="AF2" s="401" t="s">
        <v>180</v>
      </c>
      <c r="AH2" s="392" t="s">
        <v>72</v>
      </c>
      <c r="AI2" s="392" t="str">
        <f>A2</f>
        <v>Marker #</v>
      </c>
      <c r="AJ2" s="392" t="str">
        <f>B2</f>
        <v>Marker Name</v>
      </c>
      <c r="AK2" s="392" t="s">
        <v>171</v>
      </c>
      <c r="AL2" s="392" t="s">
        <v>141</v>
      </c>
      <c r="AM2" s="220" t="str">
        <f t="shared" ref="AM2:AN4" si="1">G2</f>
        <v>Criteria-&gt;</v>
      </c>
      <c r="AN2" s="220" t="str">
        <f t="shared" si="1"/>
        <v>Criteria 1</v>
      </c>
      <c r="AO2" s="220" t="str">
        <f t="shared" ref="AO2:AT4" si="2">I2</f>
        <v>Criteria 2</v>
      </c>
      <c r="AP2" s="220" t="str">
        <f t="shared" si="2"/>
        <v>Criteria 3</v>
      </c>
      <c r="AQ2" s="220" t="str">
        <f t="shared" si="2"/>
        <v>Criteria 4</v>
      </c>
      <c r="AR2" s="220" t="str">
        <f t="shared" si="2"/>
        <v>Criteria 5</v>
      </c>
      <c r="AS2" s="220" t="str">
        <f t="shared" si="2"/>
        <v>Criteria 6</v>
      </c>
      <c r="AT2" s="220" t="str">
        <f t="shared" si="2"/>
        <v>Criteria 7</v>
      </c>
      <c r="AU2" s="221" t="s">
        <v>181</v>
      </c>
      <c r="AW2" s="222" t="s">
        <v>72</v>
      </c>
      <c r="AX2" s="223" t="s">
        <v>182</v>
      </c>
      <c r="AY2" s="224" t="str">
        <f>AN2</f>
        <v>Criteria 1</v>
      </c>
      <c r="AZ2" s="224" t="str">
        <f t="shared" ref="AZ2:BE4" si="3">AO2</f>
        <v>Criteria 2</v>
      </c>
      <c r="BA2" s="224" t="str">
        <f t="shared" si="3"/>
        <v>Criteria 3</v>
      </c>
      <c r="BB2" s="224" t="str">
        <f t="shared" si="3"/>
        <v>Criteria 4</v>
      </c>
      <c r="BC2" s="224" t="str">
        <f t="shared" si="3"/>
        <v>Criteria 5</v>
      </c>
      <c r="BD2" s="224" t="str">
        <f t="shared" si="3"/>
        <v>Criteria 6</v>
      </c>
      <c r="BE2" s="224" t="str">
        <f t="shared" si="3"/>
        <v>Criteria 7</v>
      </c>
      <c r="BF2" s="395" t="s">
        <v>183</v>
      </c>
      <c r="BG2" s="395" t="s">
        <v>184</v>
      </c>
      <c r="BH2" s="225"/>
    </row>
    <row r="3" spans="1:60" ht="30" x14ac:dyDescent="0.25">
      <c r="A3" s="403"/>
      <c r="B3" s="403"/>
      <c r="C3" s="403"/>
      <c r="D3" s="403"/>
      <c r="E3" s="403"/>
      <c r="F3" s="227"/>
      <c r="G3" s="228" t="s">
        <v>185</v>
      </c>
      <c r="H3" s="216">
        <v>1</v>
      </c>
      <c r="I3" s="216">
        <v>1</v>
      </c>
      <c r="J3" s="216">
        <v>1</v>
      </c>
      <c r="K3" s="216">
        <v>1</v>
      </c>
      <c r="L3" s="216">
        <v>1</v>
      </c>
      <c r="M3" s="216">
        <v>1</v>
      </c>
      <c r="N3" s="216">
        <v>1</v>
      </c>
      <c r="O3" s="406"/>
      <c r="P3" s="406"/>
      <c r="Q3" s="406"/>
      <c r="R3" s="406"/>
      <c r="S3" s="406"/>
      <c r="T3" s="406"/>
      <c r="U3" s="406"/>
      <c r="V3" s="218">
        <f>MIN(H3:N3)</f>
        <v>1</v>
      </c>
      <c r="W3" s="403"/>
      <c r="X3" s="403"/>
      <c r="Y3" s="403"/>
      <c r="Z3"/>
      <c r="AA3" s="399"/>
      <c r="AB3" s="399"/>
      <c r="AC3" s="399"/>
      <c r="AD3" s="399"/>
      <c r="AE3" s="219"/>
      <c r="AF3" s="399"/>
      <c r="AH3" s="393"/>
      <c r="AI3" s="393"/>
      <c r="AJ3" s="393"/>
      <c r="AK3" s="393"/>
      <c r="AL3" s="393"/>
      <c r="AM3" s="220" t="str">
        <f t="shared" si="1"/>
        <v>Minimum</v>
      </c>
      <c r="AN3" s="229">
        <f t="shared" si="1"/>
        <v>1</v>
      </c>
      <c r="AO3" s="229">
        <f t="shared" si="2"/>
        <v>1</v>
      </c>
      <c r="AP3" s="229">
        <f t="shared" si="2"/>
        <v>1</v>
      </c>
      <c r="AQ3" s="229">
        <f t="shared" si="2"/>
        <v>1</v>
      </c>
      <c r="AR3" s="229">
        <f t="shared" si="2"/>
        <v>1</v>
      </c>
      <c r="AS3" s="229">
        <f t="shared" si="2"/>
        <v>1</v>
      </c>
      <c r="AT3" s="229">
        <f t="shared" si="2"/>
        <v>1</v>
      </c>
      <c r="AU3" s="230">
        <f>SUM(AN3:AT3)</f>
        <v>7</v>
      </c>
      <c r="AW3" s="231"/>
      <c r="AX3" s="232"/>
      <c r="AY3" s="233">
        <f>AN3</f>
        <v>1</v>
      </c>
      <c r="AZ3" s="233">
        <f t="shared" si="3"/>
        <v>1</v>
      </c>
      <c r="BA3" s="233">
        <f t="shared" si="3"/>
        <v>1</v>
      </c>
      <c r="BB3" s="233">
        <f t="shared" si="3"/>
        <v>1</v>
      </c>
      <c r="BC3" s="233">
        <f t="shared" si="3"/>
        <v>1</v>
      </c>
      <c r="BD3" s="233">
        <f t="shared" si="3"/>
        <v>1</v>
      </c>
      <c r="BE3" s="233">
        <f t="shared" si="3"/>
        <v>1</v>
      </c>
      <c r="BF3" s="396"/>
      <c r="BG3" s="396"/>
      <c r="BH3" s="234"/>
    </row>
    <row r="4" spans="1:60" ht="42" x14ac:dyDescent="0.25">
      <c r="A4" s="404"/>
      <c r="B4" s="404"/>
      <c r="C4" s="404"/>
      <c r="D4" s="404"/>
      <c r="E4" s="404"/>
      <c r="F4" s="235" t="s">
        <v>76</v>
      </c>
      <c r="G4" s="228" t="s">
        <v>186</v>
      </c>
      <c r="H4" s="216">
        <v>3</v>
      </c>
      <c r="I4" s="216">
        <v>3</v>
      </c>
      <c r="J4" s="216">
        <v>3</v>
      </c>
      <c r="K4" s="216">
        <v>3</v>
      </c>
      <c r="L4" s="216">
        <v>3</v>
      </c>
      <c r="M4" s="216">
        <v>3</v>
      </c>
      <c r="N4" s="216">
        <v>3</v>
      </c>
      <c r="O4" s="407"/>
      <c r="P4" s="407"/>
      <c r="Q4" s="407"/>
      <c r="R4" s="407"/>
      <c r="S4" s="407"/>
      <c r="T4" s="407"/>
      <c r="U4" s="407"/>
      <c r="V4" s="236" t="s">
        <v>188</v>
      </c>
      <c r="W4" s="404"/>
      <c r="X4" s="404"/>
      <c r="Y4" s="404"/>
      <c r="Z4"/>
      <c r="AA4" s="400"/>
      <c r="AB4" s="400"/>
      <c r="AC4" s="400"/>
      <c r="AD4" s="400"/>
      <c r="AE4" s="237">
        <f>AVERAGE(AE5:AE11)</f>
        <v>1.9952725401540998</v>
      </c>
      <c r="AF4" s="400"/>
      <c r="AH4" s="394"/>
      <c r="AI4" s="394"/>
      <c r="AJ4" s="394"/>
      <c r="AK4" s="394"/>
      <c r="AL4" s="394"/>
      <c r="AM4" s="220" t="str">
        <f t="shared" si="1"/>
        <v>Maximum</v>
      </c>
      <c r="AN4" s="229">
        <f t="shared" si="1"/>
        <v>3</v>
      </c>
      <c r="AO4" s="229">
        <f t="shared" si="2"/>
        <v>3</v>
      </c>
      <c r="AP4" s="229">
        <f t="shared" si="2"/>
        <v>3</v>
      </c>
      <c r="AQ4" s="229">
        <f t="shared" si="2"/>
        <v>3</v>
      </c>
      <c r="AR4" s="229">
        <f t="shared" si="2"/>
        <v>3</v>
      </c>
      <c r="AS4" s="229">
        <f t="shared" si="2"/>
        <v>3</v>
      </c>
      <c r="AT4" s="229">
        <f t="shared" si="2"/>
        <v>3</v>
      </c>
      <c r="AU4" s="238">
        <f>SUM(AN4:AT4)</f>
        <v>21</v>
      </c>
      <c r="AW4" s="239"/>
      <c r="AX4" s="240" t="s">
        <v>76</v>
      </c>
      <c r="AY4" s="233">
        <f>AN4</f>
        <v>3</v>
      </c>
      <c r="AZ4" s="233">
        <f t="shared" si="3"/>
        <v>3</v>
      </c>
      <c r="BA4" s="233">
        <f t="shared" si="3"/>
        <v>3</v>
      </c>
      <c r="BB4" s="233">
        <f t="shared" si="3"/>
        <v>3</v>
      </c>
      <c r="BC4" s="233">
        <f t="shared" si="3"/>
        <v>3</v>
      </c>
      <c r="BD4" s="233">
        <f t="shared" si="3"/>
        <v>3</v>
      </c>
      <c r="BE4" s="233">
        <f t="shared" si="3"/>
        <v>3</v>
      </c>
      <c r="BF4" s="397"/>
      <c r="BG4" s="397"/>
      <c r="BH4" s="225" t="s">
        <v>189</v>
      </c>
    </row>
    <row r="5" spans="1:60" x14ac:dyDescent="0.25">
      <c r="A5" s="206">
        <v>1</v>
      </c>
      <c r="B5" s="206" t="s">
        <v>98</v>
      </c>
      <c r="C5" s="206">
        <v>1</v>
      </c>
      <c r="D5" s="206" t="s">
        <v>151</v>
      </c>
      <c r="E5" s="206">
        <v>3</v>
      </c>
      <c r="F5" s="206" t="s">
        <v>86</v>
      </c>
      <c r="G5" s="241"/>
      <c r="H5" s="242">
        <v>1.6606016159057617</v>
      </c>
      <c r="I5" s="242">
        <v>2.7369073629379272</v>
      </c>
      <c r="J5" s="242">
        <v>1.5181219577789307</v>
      </c>
      <c r="K5" s="242">
        <v>1.5190826654434204</v>
      </c>
      <c r="L5" s="242">
        <v>1.3573870658874512</v>
      </c>
      <c r="M5" s="242">
        <v>1.6939142942428589</v>
      </c>
      <c r="N5" s="242">
        <v>1.0050113201141357</v>
      </c>
      <c r="O5" s="243">
        <f>IF(AND(H5&gt;=H$3, H5&lt;=H$4),1,0)</f>
        <v>1</v>
      </c>
      <c r="P5" s="243">
        <f t="shared" ref="P5:U5" si="4">IF(AND(I5&gt;=I$3, I5&lt;=I$4),1,0)</f>
        <v>1</v>
      </c>
      <c r="Q5" s="243">
        <f t="shared" si="4"/>
        <v>1</v>
      </c>
      <c r="R5" s="243">
        <f t="shared" si="4"/>
        <v>1</v>
      </c>
      <c r="S5" s="243">
        <f t="shared" si="4"/>
        <v>1</v>
      </c>
      <c r="T5" s="243">
        <f t="shared" si="4"/>
        <v>1</v>
      </c>
      <c r="U5" s="243">
        <f t="shared" si="4"/>
        <v>1</v>
      </c>
      <c r="V5" s="244">
        <f>SUM(O5:U5)</f>
        <v>7</v>
      </c>
      <c r="W5" s="243">
        <v>1</v>
      </c>
      <c r="X5" s="245">
        <f>V5*W5</f>
        <v>7</v>
      </c>
      <c r="Y5" s="246">
        <f>IF(X5=V$1,SUM(H5:N5),"")</f>
        <v>11.491026282310486</v>
      </c>
      <c r="Z5"/>
      <c r="AA5" s="247">
        <v>1</v>
      </c>
      <c r="AB5" s="248" t="str">
        <f>IF(LEN(A5)&gt;0,VLOOKUP(AA5,Markers!A:B,2,FALSE),"")</f>
        <v>Marker 1</v>
      </c>
      <c r="AC5" s="248">
        <f>SUMIF(A:A,AA5,X:X)</f>
        <v>42</v>
      </c>
      <c r="AD5" s="249">
        <f>IF(AA5&gt;0,SUMIF($A:$A,AA5,Y:Y),"")</f>
        <v>83.49058997631073</v>
      </c>
      <c r="AE5" s="250">
        <f>IF(AC5&gt;0,AD5/AC5,"")</f>
        <v>1.9878711899121602</v>
      </c>
      <c r="AF5" s="251">
        <f>IF(LEN(AE5)&gt;0,IF($AF$1,$AE$1/AE5,1),"")</f>
        <v>1</v>
      </c>
      <c r="AH5" s="252">
        <f>E5</f>
        <v>3</v>
      </c>
      <c r="AI5" s="252">
        <f>A5</f>
        <v>1</v>
      </c>
      <c r="AJ5" s="252" t="str">
        <f>B5</f>
        <v>Marker 1</v>
      </c>
      <c r="AK5" s="252">
        <f>C5</f>
        <v>1</v>
      </c>
      <c r="AL5" s="252" t="str">
        <f>D5</f>
        <v>L</v>
      </c>
      <c r="AM5" s="253"/>
      <c r="AN5" s="254">
        <f t="shared" ref="AN5:AT5" si="5">IF(AND(LEN(H5)&gt;0,$W5=1),H5*VLOOKUP($AI5,$AA:$AF,6,FALSE),"")</f>
        <v>1.6606016159057617</v>
      </c>
      <c r="AO5" s="254">
        <f t="shared" si="5"/>
        <v>2.7369073629379272</v>
      </c>
      <c r="AP5" s="254">
        <f t="shared" si="5"/>
        <v>1.5181219577789307</v>
      </c>
      <c r="AQ5" s="254">
        <f t="shared" si="5"/>
        <v>1.5190826654434204</v>
      </c>
      <c r="AR5" s="254">
        <f>IF(AND(LEN(L5)&gt;0,$W5=1),L5*VLOOKUP($AI5,$AA:$AF,6,FALSE),"")</f>
        <v>1.3573870658874512</v>
      </c>
      <c r="AS5" s="254">
        <v>2.1528133354095402</v>
      </c>
      <c r="AT5" s="254">
        <f>IF(AND(LEN(N5)&gt;0,$W5=1),N5*VLOOKUP($AI5,$AA:$AF,6,FALSE),"")</f>
        <v>1.0050113201141357</v>
      </c>
      <c r="AU5" s="254">
        <f>SUM(AN5:AT5)</f>
        <v>11.949925323477167</v>
      </c>
      <c r="AW5" s="255">
        <v>9</v>
      </c>
      <c r="AX5" s="255" t="str">
        <f>IF(AW5&gt;0,VLOOKUP(AW5,E:F,2,FALSE),"")</f>
        <v>Project 9</v>
      </c>
      <c r="AY5" s="256">
        <f>IF(SUMIF($AH:$AH,$AW5,AN:AN)=0,"",SUMIF($AH:$AH,$AW5,AN:AN)/$BF5)</f>
        <v>2.2293360531330109</v>
      </c>
      <c r="AZ5" s="256">
        <f>IF(SUMIF($AH:$AH,$AW5,AO:AO)=0,"",SUMIF($AH:$AH,$AW5,AO:AO)/$BF5)</f>
        <v>1.8195529282093048</v>
      </c>
      <c r="BA5" s="256">
        <f>IF(SUMIF($AH:$AH,$AW5,AP:AP)=0,"",SUMIF($AH:$AH,$AW5,AP:AP)/$BF5)</f>
        <v>2.184888631105423</v>
      </c>
      <c r="BB5" s="256">
        <f>IF(SUMIF($AH:$AH,$AW5,AQ:AQ)=0,"",SUMIF($AH:$AH,$AW5,AQ:AQ)/$BF5)</f>
        <v>2.4309225380420685</v>
      </c>
      <c r="BC5" s="256">
        <f>IF(SUMIF($AH:$AH,$AW5,AR:AR)=0,"",SUMIF($AH:$AH,$AW5,AR:AR)/$BF5)</f>
        <v>2.416697770357132</v>
      </c>
      <c r="BD5" s="256">
        <f t="shared" ref="AY5:BE5" si="6">IF(SUMIF($AH:$AH,$AW5,AS:AS)=0,"",SUMIF($AH:$AH,$AW5,AS:AS)/$BF5)</f>
        <v>2.527982566304857</v>
      </c>
      <c r="BE5" s="256">
        <f t="shared" si="6"/>
        <v>1.6895034611225128</v>
      </c>
      <c r="BF5" s="257">
        <f>SUMIF(E$5:E$44,AW5,X$5:X$44)/V$1</f>
        <v>4</v>
      </c>
      <c r="BG5" s="256">
        <f>IF(LEN(BF5)&gt;0,SUM(AY5:BE5),"")</f>
        <v>15.298883948274309</v>
      </c>
      <c r="BH5" s="234">
        <v>1</v>
      </c>
    </row>
    <row r="6" spans="1:60" x14ac:dyDescent="0.25">
      <c r="A6" s="206">
        <v>1</v>
      </c>
      <c r="B6" s="206" t="s">
        <v>98</v>
      </c>
      <c r="C6" s="206">
        <v>2</v>
      </c>
      <c r="D6" s="206" t="s">
        <v>151</v>
      </c>
      <c r="E6" s="206">
        <v>4</v>
      </c>
      <c r="F6" s="206" t="s">
        <v>87</v>
      </c>
      <c r="G6" s="241"/>
      <c r="H6" s="242">
        <v>2.4846841096878052</v>
      </c>
      <c r="I6" s="242">
        <v>2.6817741394042969</v>
      </c>
      <c r="J6" s="242">
        <v>1.5571788549423218</v>
      </c>
      <c r="K6" s="242">
        <v>2.4059402942657471</v>
      </c>
      <c r="L6" s="242">
        <v>1.8097292184829712</v>
      </c>
      <c r="M6" s="242">
        <v>2.6231427192687988</v>
      </c>
      <c r="N6" s="242">
        <v>2.4835613965988159</v>
      </c>
      <c r="O6" s="243">
        <f>IF(AND(H6&gt;=H$3, H6&lt;=H$4),1,0)</f>
        <v>1</v>
      </c>
      <c r="P6" s="243">
        <f t="shared" ref="P6:P44" si="7">IF(AND(I6&gt;=I$3, I6&lt;=I$4),1,0)</f>
        <v>1</v>
      </c>
      <c r="Q6" s="243">
        <f t="shared" ref="Q6:Q44" si="8">IF(AND(J6&gt;=J$3, J6&lt;=J$4),1,0)</f>
        <v>1</v>
      </c>
      <c r="R6" s="243">
        <f t="shared" ref="R6:R44" si="9">IF(AND(K6&gt;=K$3, K6&lt;=K$4),1,0)</f>
        <v>1</v>
      </c>
      <c r="S6" s="243">
        <f t="shared" ref="S6:S44" si="10">IF(AND(L6&gt;=L$3, L6&lt;=L$4),1,0)</f>
        <v>1</v>
      </c>
      <c r="T6" s="243">
        <f t="shared" ref="T6:T44" si="11">IF(AND(M6&gt;=M$3, M6&lt;=M$4),1,0)</f>
        <v>1</v>
      </c>
      <c r="U6" s="243">
        <f t="shared" ref="U6:U44" si="12">IF(AND(N6&gt;=N$3, N6&lt;=N$4),1,0)</f>
        <v>1</v>
      </c>
      <c r="V6" s="244">
        <f t="shared" ref="V6:V44" si="13">SUM(O6:U6)</f>
        <v>7</v>
      </c>
      <c r="W6" s="243">
        <v>1</v>
      </c>
      <c r="X6" s="245">
        <f t="shared" ref="X6:X44" si="14">V6*W6</f>
        <v>7</v>
      </c>
      <c r="Y6" s="246">
        <f t="shared" ref="Y6:Y44" si="15">IF(X6=V$1,SUM(H6:N6),"")</f>
        <v>16.046010732650757</v>
      </c>
      <c r="Z6"/>
      <c r="AA6" s="247">
        <v>2</v>
      </c>
      <c r="AB6" s="248" t="str">
        <f>IF(LEN(A6)&gt;0,VLOOKUP(AA6,Markers!A:B,2,FALSE),"")</f>
        <v>Marker 2</v>
      </c>
      <c r="AC6" s="248">
        <f t="shared" ref="AC6:AC11" si="16">SUMIF(A:A,AA6,X:X)</f>
        <v>42</v>
      </c>
      <c r="AD6" s="249">
        <f t="shared" ref="AD6:AD11" si="17">IF(AA6&gt;0,SUMIF($A:$A,AA6,Y:Y),"")</f>
        <v>81.724893927574158</v>
      </c>
      <c r="AE6" s="250">
        <f t="shared" ref="AE6:AE11" si="18">IF(AC6&gt;0,AD6/AC6,"")</f>
        <v>1.9458308077993847</v>
      </c>
      <c r="AF6" s="251">
        <f t="shared" ref="AF6:AF11" si="19">IF(LEN(AE6)&gt;0,IF($AF$1,$AE$1/AE6,1),"")</f>
        <v>1</v>
      </c>
      <c r="AH6" s="252">
        <f t="shared" ref="AH6:AH44" si="20">E6</f>
        <v>4</v>
      </c>
      <c r="AI6" s="252">
        <f t="shared" ref="AI6:AI44" si="21">A6</f>
        <v>1</v>
      </c>
      <c r="AJ6" s="252" t="str">
        <f t="shared" ref="AJ6:AJ44" si="22">B6</f>
        <v>Marker 1</v>
      </c>
      <c r="AK6" s="252">
        <f t="shared" ref="AK6:AK44" si="23">C6</f>
        <v>2</v>
      </c>
      <c r="AL6" s="252" t="str">
        <f t="shared" ref="AL6:AL44" si="24">D6</f>
        <v>L</v>
      </c>
      <c r="AM6" s="253"/>
      <c r="AN6" s="254">
        <f t="shared" ref="AN6:AN44" si="25">IF(AND(LEN(H6)&gt;0,$W6=1),H6*VLOOKUP($AI6,$AA:$AF,6,FALSE),"")</f>
        <v>2.4846841096878052</v>
      </c>
      <c r="AO6" s="254">
        <f t="shared" ref="AO6:AO44" si="26">IF(AND(LEN(I6)&gt;0,$W6=1),I6*VLOOKUP($AI6,$AA:$AF,6,FALSE),"")</f>
        <v>2.6817741394042969</v>
      </c>
      <c r="AP6" s="254">
        <f t="shared" ref="AP6:AP44" si="27">IF(AND(LEN(J6)&gt;0,$W6=1),J6*VLOOKUP($AI6,$AA:$AF,6,FALSE),"")</f>
        <v>1.5571788549423218</v>
      </c>
      <c r="AQ6" s="254">
        <f t="shared" ref="AQ6:AQ44" si="28">IF(AND(LEN(K6)&gt;0,$W6=1),K6*VLOOKUP($AI6,$AA:$AF,6,FALSE),"")</f>
        <v>2.4059402942657471</v>
      </c>
      <c r="AR6" s="254">
        <f>IF(AND(LEN(L6)&gt;0,$W6=1),L6*VLOOKUP($AI6,$AA:$AF,6,FALSE),"")</f>
        <v>1.8097292184829712</v>
      </c>
      <c r="AS6" s="254">
        <v>2.4689712731535254</v>
      </c>
      <c r="AT6" s="254">
        <f>IF(AND(LEN(N6)&gt;0,$W6=1),N6*VLOOKUP($AI6,$AA:$AF,6,FALSE),"")</f>
        <v>2.4835613965988159</v>
      </c>
      <c r="AU6" s="254">
        <f>SUM(AN6:AT6)</f>
        <v>15.891839286535483</v>
      </c>
      <c r="AW6" s="255">
        <v>6</v>
      </c>
      <c r="AX6" s="255" t="str">
        <f>IF(AW6&gt;0,VLOOKUP(AW6,E:F,2,FALSE),"")</f>
        <v>Project 6</v>
      </c>
      <c r="AY6" s="256">
        <f>IF(SUMIF($AH:$AH,$AW6,AN:AN)=0,"",SUMIF($AH:$AH,$AW6,AN:AN)/$BF6)</f>
        <v>1.7346110641956329</v>
      </c>
      <c r="AZ6" s="256">
        <f>IF(SUMIF($AH:$AH,$AW6,AO:AO)=0,"",SUMIF($AH:$AH,$AW6,AO:AO)/$BF6)</f>
        <v>2.0217454731464386</v>
      </c>
      <c r="BA6" s="256">
        <f>IF(SUMIF($AH:$AH,$AW6,AP:AP)=0,"",SUMIF($AH:$AH,$AW6,AP:AP)/$BF6)</f>
        <v>2.6742582619190216</v>
      </c>
      <c r="BB6" s="256">
        <f>IF(SUMIF($AH:$AH,$AW6,AQ:AQ)=0,"",SUMIF($AH:$AH,$AW6,AQ:AQ)/$BF6)</f>
        <v>2.4249718487262726</v>
      </c>
      <c r="BC6" s="256">
        <f>IF(SUMIF($AH:$AH,$AW6,AR:AR)=0,"",SUMIF($AH:$AH,$AW6,AR:AR)/$BF6)</f>
        <v>2.2980752289295197</v>
      </c>
      <c r="BD6" s="256">
        <f t="shared" ref="BD6:BD14" si="29">IF(SUMIF($AH:$AH,$AW6,AS:AS)=0,"",SUMIF($AH:$AH,$AW6,AS:AS)/$BF6)</f>
        <v>2.3524749227216755</v>
      </c>
      <c r="BE6" s="256">
        <f t="shared" ref="BE6:BE14" si="30">IF(SUMIF($AH:$AH,$AW6,AT:AT)=0,"",SUMIF($AH:$AH,$AW6,AT:AT)/$BF6)</f>
        <v>2.4153576195240021</v>
      </c>
      <c r="BF6" s="257">
        <f t="shared" ref="BF6:BF14" si="31">SUMIF(E$5:E$44,AW6,X$5:X$44)/V$1</f>
        <v>4</v>
      </c>
      <c r="BG6" s="256">
        <f t="shared" ref="BG6:BG14" si="32">IF(LEN(BF6)&gt;0,SUM(AY6:BE6),"")</f>
        <v>15.921494419162563</v>
      </c>
      <c r="BH6" s="234">
        <v>2</v>
      </c>
    </row>
    <row r="7" spans="1:60" x14ac:dyDescent="0.25">
      <c r="A7" s="206">
        <v>1</v>
      </c>
      <c r="B7" s="206" t="s">
        <v>98</v>
      </c>
      <c r="C7" s="206">
        <v>3</v>
      </c>
      <c r="D7" s="206" t="s">
        <v>151</v>
      </c>
      <c r="E7" s="206">
        <v>5</v>
      </c>
      <c r="F7" s="206" t="s">
        <v>88</v>
      </c>
      <c r="G7" s="241"/>
      <c r="H7" s="242">
        <v>1.8753278255462646</v>
      </c>
      <c r="I7" s="242">
        <v>1.1559611558914185</v>
      </c>
      <c r="J7" s="242">
        <v>1.821263313293457</v>
      </c>
      <c r="K7" s="242">
        <v>1.6787503957748413</v>
      </c>
      <c r="L7" s="242">
        <v>2.4211084842681885</v>
      </c>
      <c r="M7" s="242">
        <v>1.624576210975647</v>
      </c>
      <c r="N7" s="242">
        <v>2.5975470542907715</v>
      </c>
      <c r="O7" s="243">
        <f>IF(AND(H7&gt;=H$3, H7&lt;=H$4),1,0)</f>
        <v>1</v>
      </c>
      <c r="P7" s="243">
        <f t="shared" si="7"/>
        <v>1</v>
      </c>
      <c r="Q7" s="243">
        <f t="shared" si="8"/>
        <v>1</v>
      </c>
      <c r="R7" s="243">
        <f t="shared" si="9"/>
        <v>1</v>
      </c>
      <c r="S7" s="243">
        <f t="shared" si="10"/>
        <v>1</v>
      </c>
      <c r="T7" s="243">
        <f t="shared" si="11"/>
        <v>1</v>
      </c>
      <c r="U7" s="243">
        <f t="shared" si="12"/>
        <v>1</v>
      </c>
      <c r="V7" s="244">
        <f t="shared" si="13"/>
        <v>7</v>
      </c>
      <c r="W7" s="243">
        <v>1</v>
      </c>
      <c r="X7" s="245">
        <f t="shared" si="14"/>
        <v>7</v>
      </c>
      <c r="Y7" s="246">
        <f t="shared" si="15"/>
        <v>13.174534440040588</v>
      </c>
      <c r="Z7"/>
      <c r="AA7" s="247">
        <v>3</v>
      </c>
      <c r="AB7" s="248" t="str">
        <f>IF(LEN(A7)&gt;0,VLOOKUP(AA7,Markers!A:B,2,FALSE),"")</f>
        <v>Marker 3</v>
      </c>
      <c r="AC7" s="248">
        <f t="shared" si="16"/>
        <v>42</v>
      </c>
      <c r="AD7" s="249">
        <f t="shared" si="17"/>
        <v>82.361995577812195</v>
      </c>
      <c r="AE7" s="250">
        <f t="shared" si="18"/>
        <v>1.9609998947098142</v>
      </c>
      <c r="AF7" s="251">
        <f t="shared" si="19"/>
        <v>1</v>
      </c>
      <c r="AH7" s="252">
        <f t="shared" si="20"/>
        <v>5</v>
      </c>
      <c r="AI7" s="252">
        <f t="shared" si="21"/>
        <v>1</v>
      </c>
      <c r="AJ7" s="252" t="str">
        <f t="shared" si="22"/>
        <v>Marker 1</v>
      </c>
      <c r="AK7" s="252">
        <f t="shared" si="23"/>
        <v>3</v>
      </c>
      <c r="AL7" s="252" t="str">
        <f t="shared" si="24"/>
        <v>L</v>
      </c>
      <c r="AM7" s="253"/>
      <c r="AN7" s="254">
        <f t="shared" si="25"/>
        <v>1.8753278255462646</v>
      </c>
      <c r="AO7" s="254">
        <f t="shared" si="26"/>
        <v>1.1559611558914185</v>
      </c>
      <c r="AP7" s="254">
        <f t="shared" si="27"/>
        <v>1.821263313293457</v>
      </c>
      <c r="AQ7" s="254">
        <f t="shared" si="28"/>
        <v>1.6787503957748413</v>
      </c>
      <c r="AR7" s="254">
        <f>IF(AND(LEN(L7)&gt;0,$W7=1),L7*VLOOKUP($AI7,$AA:$AF,6,FALSE),"")</f>
        <v>2.4211084842681885</v>
      </c>
      <c r="AS7" s="254">
        <v>3.6011226504704283</v>
      </c>
      <c r="AT7" s="254">
        <f>IF(AND(LEN(N7)&gt;0,$W7=1),N7*VLOOKUP($AI7,$AA:$AF,6,FALSE),"")</f>
        <v>2.5975470542907715</v>
      </c>
      <c r="AU7" s="254">
        <f>SUM(AN7:AT7)</f>
        <v>15.151080879535369</v>
      </c>
      <c r="AW7" s="255">
        <v>5</v>
      </c>
      <c r="AX7" s="255" t="str">
        <f>IF(AW7&gt;0,VLOOKUP(AW7,E:F,2,FALSE),"")</f>
        <v>Project 5</v>
      </c>
      <c r="AY7" s="256">
        <f>IF(SUMIF($AH:$AH,$AW7,AN:AN)=0,"",SUMIF($AH:$AH,$AW7,AN:AN)/$BF7)</f>
        <v>2.0119033455848694</v>
      </c>
      <c r="AZ7" s="256">
        <f>IF(SUMIF($AH:$AH,$AW7,AO:AO)=0,"",SUMIF($AH:$AH,$AW7,AO:AO)/$BF7)</f>
        <v>1.9130436778068542</v>
      </c>
      <c r="BA7" s="256">
        <f>IF(SUMIF($AH:$AH,$AW7,AP:AP)=0,"",SUMIF($AH:$AH,$AW7,AP:AP)/$BF7)</f>
        <v>1.8620885014533997</v>
      </c>
      <c r="BB7" s="256">
        <f>IF(SUMIF($AH:$AH,$AW7,AQ:AQ)=0,"",SUMIF($AH:$AH,$AW7,AQ:AQ)/$BF7)</f>
        <v>2.1825565695762634</v>
      </c>
      <c r="BC7" s="256">
        <f>IF(SUMIF($AH:$AH,$AW7,AR:AR)=0,"",SUMIF($AH:$AH,$AW7,AR:AR)/$BF7)</f>
        <v>2.3433447480201721</v>
      </c>
      <c r="BD7" s="256">
        <f t="shared" si="29"/>
        <v>2.6143036303788287</v>
      </c>
      <c r="BE7" s="256">
        <f t="shared" si="30"/>
        <v>2.1409595608711243</v>
      </c>
      <c r="BF7" s="257">
        <f t="shared" si="31"/>
        <v>4</v>
      </c>
      <c r="BG7" s="256">
        <f t="shared" si="32"/>
        <v>15.068200033691511</v>
      </c>
      <c r="BH7" s="234">
        <v>3</v>
      </c>
    </row>
    <row r="8" spans="1:60" x14ac:dyDescent="0.25">
      <c r="A8" s="206">
        <v>1</v>
      </c>
      <c r="B8" s="206" t="s">
        <v>98</v>
      </c>
      <c r="C8" s="206">
        <v>4</v>
      </c>
      <c r="D8" s="206" t="s">
        <v>151</v>
      </c>
      <c r="E8" s="206">
        <v>6</v>
      </c>
      <c r="F8" s="206" t="s">
        <v>89</v>
      </c>
      <c r="G8" s="241"/>
      <c r="H8" s="242">
        <v>1.3035124540328979</v>
      </c>
      <c r="I8" s="242">
        <v>2.1859824657440186</v>
      </c>
      <c r="J8" s="242">
        <v>2.9124737977981567</v>
      </c>
      <c r="K8" s="242">
        <v>1.4862957000732422</v>
      </c>
      <c r="L8" s="242">
        <v>2.8799422979354858</v>
      </c>
      <c r="M8" s="242">
        <v>1.2286655902862549</v>
      </c>
      <c r="N8" s="242">
        <v>2.9685064554214478</v>
      </c>
      <c r="O8" s="243">
        <f>IF(AND(H8&gt;=H$3, H8&lt;=H$4),1,0)</f>
        <v>1</v>
      </c>
      <c r="P8" s="243">
        <f t="shared" si="7"/>
        <v>1</v>
      </c>
      <c r="Q8" s="243">
        <f t="shared" si="8"/>
        <v>1</v>
      </c>
      <c r="R8" s="243">
        <f t="shared" si="9"/>
        <v>1</v>
      </c>
      <c r="S8" s="243">
        <f t="shared" si="10"/>
        <v>1</v>
      </c>
      <c r="T8" s="243">
        <f t="shared" si="11"/>
        <v>1</v>
      </c>
      <c r="U8" s="243">
        <f t="shared" si="12"/>
        <v>1</v>
      </c>
      <c r="V8" s="244">
        <f t="shared" si="13"/>
        <v>7</v>
      </c>
      <c r="W8" s="243">
        <v>1</v>
      </c>
      <c r="X8" s="245">
        <f t="shared" si="14"/>
        <v>7</v>
      </c>
      <c r="Y8" s="246">
        <f t="shared" si="15"/>
        <v>14.965378761291504</v>
      </c>
      <c r="Z8"/>
      <c r="AA8" s="247">
        <v>4</v>
      </c>
      <c r="AB8" s="248" t="str">
        <f>IF(LEN(A8)&gt;0,VLOOKUP(AA8,Markers!A:B,2,FALSE),"")</f>
        <v>Marker 4</v>
      </c>
      <c r="AC8" s="248">
        <f t="shared" si="16"/>
        <v>42</v>
      </c>
      <c r="AD8" s="249">
        <f t="shared" si="17"/>
        <v>87.083138823509216</v>
      </c>
      <c r="AE8" s="250">
        <f t="shared" si="18"/>
        <v>2.0734080672264099</v>
      </c>
      <c r="AF8" s="251">
        <f t="shared" si="19"/>
        <v>1</v>
      </c>
      <c r="AH8" s="252">
        <f t="shared" si="20"/>
        <v>6</v>
      </c>
      <c r="AI8" s="252">
        <f t="shared" si="21"/>
        <v>1</v>
      </c>
      <c r="AJ8" s="252" t="str">
        <f t="shared" si="22"/>
        <v>Marker 1</v>
      </c>
      <c r="AK8" s="252">
        <f t="shared" si="23"/>
        <v>4</v>
      </c>
      <c r="AL8" s="252" t="str">
        <f t="shared" si="24"/>
        <v>L</v>
      </c>
      <c r="AM8" s="253"/>
      <c r="AN8" s="254">
        <f t="shared" si="25"/>
        <v>1.3035124540328979</v>
      </c>
      <c r="AO8" s="254">
        <f t="shared" si="26"/>
        <v>2.1859824657440186</v>
      </c>
      <c r="AP8" s="254">
        <f t="shared" si="27"/>
        <v>2.9124737977981567</v>
      </c>
      <c r="AQ8" s="254">
        <f t="shared" si="28"/>
        <v>1.4862957000732422</v>
      </c>
      <c r="AR8" s="254">
        <f>IF(AND(LEN(L8)&gt;0,$W8=1),L8*VLOOKUP($AI8,$AA:$AF,6,FALSE),"")</f>
        <v>2.8799422979354858</v>
      </c>
      <c r="AS8" s="254">
        <v>3.294289884822879</v>
      </c>
      <c r="AT8" s="254">
        <f>IF(AND(LEN(N8)&gt;0,$W8=1),N8*VLOOKUP($AI8,$AA:$AF,6,FALSE),"")</f>
        <v>2.9685064554214478</v>
      </c>
      <c r="AU8" s="254">
        <f>SUM(AN8:AT8)</f>
        <v>17.03100305582813</v>
      </c>
      <c r="AW8" s="255">
        <v>3</v>
      </c>
      <c r="AX8" s="255" t="str">
        <f>IF(AW8&gt;0,VLOOKUP(AW8,E:F,2,FALSE),"")</f>
        <v>Project 3</v>
      </c>
      <c r="AY8" s="256">
        <f>IF(SUMIF($AH:$AH,$AW8,AN:AN)=0,"",SUMIF($AH:$AH,$AW8,AN:AN)/$BF8)</f>
        <v>2.1065961420536041</v>
      </c>
      <c r="AZ8" s="256">
        <f>IF(SUMIF($AH:$AH,$AW8,AO:AO)=0,"",SUMIF($AH:$AH,$AW8,AO:AO)/$BF8)</f>
        <v>1.679838091135025</v>
      </c>
      <c r="BA8" s="256">
        <f>IF(SUMIF($AH:$AH,$AW8,AP:AP)=0,"",SUMIF($AH:$AH,$AW8,AP:AP)/$BF8)</f>
        <v>1.5028368532657623</v>
      </c>
      <c r="BB8" s="256">
        <f>IF(SUMIF($AH:$AH,$AW8,AQ:AQ)=0,"",SUMIF($AH:$AH,$AW8,AQ:AQ)/$BF8)</f>
        <v>2.1556667387485504</v>
      </c>
      <c r="BC8" s="256">
        <f>IF(SUMIF($AH:$AH,$AW8,AR:AR)=0,"",SUMIF($AH:$AH,$AW8,AR:AR)/$BF8)</f>
        <v>1.5816985666751862</v>
      </c>
      <c r="BD8" s="256">
        <f t="shared" si="29"/>
        <v>2.3617399843978744</v>
      </c>
      <c r="BE8" s="256">
        <f t="shared" si="30"/>
        <v>1.9057117998600006</v>
      </c>
      <c r="BF8" s="257">
        <f t="shared" si="31"/>
        <v>4</v>
      </c>
      <c r="BG8" s="256">
        <f t="shared" si="32"/>
        <v>13.294088176136004</v>
      </c>
      <c r="BH8" s="234">
        <v>4</v>
      </c>
    </row>
    <row r="9" spans="1:60" x14ac:dyDescent="0.25">
      <c r="A9" s="206">
        <v>1</v>
      </c>
      <c r="B9" s="206" t="s">
        <v>98</v>
      </c>
      <c r="C9" s="206">
        <v>3</v>
      </c>
      <c r="D9" s="206" t="s">
        <v>151</v>
      </c>
      <c r="E9" s="206">
        <v>9</v>
      </c>
      <c r="F9" s="206" t="s">
        <v>92</v>
      </c>
      <c r="G9" s="241"/>
      <c r="H9" s="242">
        <v>2.2659516334533691</v>
      </c>
      <c r="I9" s="242">
        <v>2.197712779045105</v>
      </c>
      <c r="J9" s="242">
        <v>2.8051393032073975</v>
      </c>
      <c r="K9" s="242">
        <v>2.14972984790802</v>
      </c>
      <c r="L9" s="242">
        <v>1.4903478622436523</v>
      </c>
      <c r="M9" s="242">
        <v>2.7203248739242554</v>
      </c>
      <c r="N9" s="242">
        <v>1.1499006748199463</v>
      </c>
      <c r="O9" s="243">
        <f>IF(AND(H9&gt;=H$3, H9&lt;=H$4),1,0)</f>
        <v>1</v>
      </c>
      <c r="P9" s="243">
        <f t="shared" si="7"/>
        <v>1</v>
      </c>
      <c r="Q9" s="243">
        <f t="shared" si="8"/>
        <v>1</v>
      </c>
      <c r="R9" s="243">
        <f t="shared" si="9"/>
        <v>1</v>
      </c>
      <c r="S9" s="243">
        <f t="shared" si="10"/>
        <v>1</v>
      </c>
      <c r="T9" s="243">
        <f t="shared" si="11"/>
        <v>1</v>
      </c>
      <c r="U9" s="243">
        <f t="shared" si="12"/>
        <v>1</v>
      </c>
      <c r="V9" s="244">
        <f t="shared" si="13"/>
        <v>7</v>
      </c>
      <c r="W9" s="243">
        <v>1</v>
      </c>
      <c r="X9" s="245">
        <f t="shared" si="14"/>
        <v>7</v>
      </c>
      <c r="Y9" s="246">
        <f t="shared" si="15"/>
        <v>14.779106974601746</v>
      </c>
      <c r="Z9"/>
      <c r="AA9" s="247">
        <v>5</v>
      </c>
      <c r="AB9" s="248" t="str">
        <f>IF(LEN(A9)&gt;0,VLOOKUP(AA9,Markers!A:B,2,FALSE),"")</f>
        <v>Marker 5</v>
      </c>
      <c r="AC9" s="248">
        <f t="shared" si="16"/>
        <v>42</v>
      </c>
      <c r="AD9" s="249">
        <f t="shared" si="17"/>
        <v>83.342760920524597</v>
      </c>
      <c r="AE9" s="250">
        <f t="shared" si="18"/>
        <v>1.9843514504886808</v>
      </c>
      <c r="AF9" s="251">
        <f t="shared" si="19"/>
        <v>1</v>
      </c>
      <c r="AH9" s="252">
        <f t="shared" si="20"/>
        <v>9</v>
      </c>
      <c r="AI9" s="252">
        <f t="shared" si="21"/>
        <v>1</v>
      </c>
      <c r="AJ9" s="252" t="str">
        <f t="shared" si="22"/>
        <v>Marker 1</v>
      </c>
      <c r="AK9" s="252">
        <f t="shared" si="23"/>
        <v>3</v>
      </c>
      <c r="AL9" s="252" t="str">
        <f t="shared" si="24"/>
        <v>L</v>
      </c>
      <c r="AM9" s="253"/>
      <c r="AN9" s="254">
        <f t="shared" si="25"/>
        <v>2.2659516334533691</v>
      </c>
      <c r="AO9" s="254">
        <f t="shared" si="26"/>
        <v>2.197712779045105</v>
      </c>
      <c r="AP9" s="254">
        <f t="shared" si="27"/>
        <v>2.8051393032073975</v>
      </c>
      <c r="AQ9" s="254">
        <f t="shared" si="28"/>
        <v>2.14972984790802</v>
      </c>
      <c r="AR9" s="254">
        <f>IF(AND(LEN(L9)&gt;0,$W9=1),L9*VLOOKUP($AI9,$AA:$AF,6,FALSE),"")</f>
        <v>1.4903478622436523</v>
      </c>
      <c r="AS9" s="254">
        <v>2.0117123852161733</v>
      </c>
      <c r="AT9" s="254">
        <f>IF(AND(LEN(N9)&gt;0,$W9=1),N9*VLOOKUP($AI9,$AA:$AF,6,FALSE),"")</f>
        <v>1.1499006748199463</v>
      </c>
      <c r="AU9" s="254">
        <f>SUM(AN9:AT9)</f>
        <v>14.070494485893663</v>
      </c>
      <c r="AW9" s="255">
        <v>2</v>
      </c>
      <c r="AX9" s="255" t="str">
        <f>IF(AW9&gt;0,VLOOKUP(AW9,E:F,2,FALSE),"")</f>
        <v>Project 2</v>
      </c>
      <c r="AY9" s="256">
        <f>IF(SUMIF($AH:$AH,$AW9,AN:AN)=0,"",SUMIF($AH:$AH,$AW9,AN:AN)/$BF9)</f>
        <v>1.540284276008606</v>
      </c>
      <c r="AZ9" s="256">
        <f>IF(SUMIF($AH:$AH,$AW9,AO:AO)=0,"",SUMIF($AH:$AH,$AW9,AO:AO)/$BF9)</f>
        <v>1.9651689529418945</v>
      </c>
      <c r="BA9" s="256">
        <f>IF(SUMIF($AH:$AH,$AW9,AP:AP)=0,"",SUMIF($AH:$AH,$AW9,AP:AP)/$BF9)</f>
        <v>2.3564084768295288</v>
      </c>
      <c r="BB9" s="256">
        <f>IF(SUMIF($AH:$AH,$AW9,AQ:AQ)=0,"",SUMIF($AH:$AH,$AW9,AQ:AQ)/$BF9)</f>
        <v>2.060009241104126</v>
      </c>
      <c r="BC9" s="256">
        <f>IF(SUMIF($AH:$AH,$AW9,AR:AR)=0,"",SUMIF($AH:$AH,$AW9,AR:AR)/$BF9)</f>
        <v>2.1922489404678345</v>
      </c>
      <c r="BD9" s="256">
        <f t="shared" si="29"/>
        <v>2.3786385910667653</v>
      </c>
      <c r="BE9" s="256">
        <f t="shared" si="30"/>
        <v>1.6313170194625854</v>
      </c>
      <c r="BF9" s="257">
        <f t="shared" si="31"/>
        <v>4</v>
      </c>
      <c r="BG9" s="256">
        <f t="shared" si="32"/>
        <v>14.124075497881341</v>
      </c>
      <c r="BH9" s="234">
        <v>5</v>
      </c>
    </row>
    <row r="10" spans="1:60" x14ac:dyDescent="0.25">
      <c r="A10" s="206">
        <v>1</v>
      </c>
      <c r="B10" s="206" t="s">
        <v>98</v>
      </c>
      <c r="C10" s="206">
        <v>1</v>
      </c>
      <c r="D10" s="206" t="s">
        <v>152</v>
      </c>
      <c r="E10" s="206">
        <v>10</v>
      </c>
      <c r="F10" s="206" t="s">
        <v>93</v>
      </c>
      <c r="G10" s="241"/>
      <c r="H10" s="242">
        <v>1.8776527643203735</v>
      </c>
      <c r="I10" s="242">
        <v>2.5199580192565918</v>
      </c>
      <c r="J10" s="242">
        <v>1.491357684135437</v>
      </c>
      <c r="K10" s="242">
        <v>1.7572124004364014</v>
      </c>
      <c r="L10" s="242">
        <v>1.7944871187210083</v>
      </c>
      <c r="M10" s="242">
        <v>2.0531463623046875</v>
      </c>
      <c r="N10" s="242">
        <v>1.5407184362411499</v>
      </c>
      <c r="O10" s="243">
        <f>IF(AND(H10&gt;=H$3, H10&lt;=H$4),1,0)</f>
        <v>1</v>
      </c>
      <c r="P10" s="243">
        <f t="shared" si="7"/>
        <v>1</v>
      </c>
      <c r="Q10" s="243">
        <f t="shared" si="8"/>
        <v>1</v>
      </c>
      <c r="R10" s="243">
        <f t="shared" si="9"/>
        <v>1</v>
      </c>
      <c r="S10" s="243">
        <f t="shared" si="10"/>
        <v>1</v>
      </c>
      <c r="T10" s="243">
        <f t="shared" si="11"/>
        <v>1</v>
      </c>
      <c r="U10" s="243">
        <f t="shared" si="12"/>
        <v>1</v>
      </c>
      <c r="V10" s="244">
        <f t="shared" si="13"/>
        <v>7</v>
      </c>
      <c r="W10" s="243">
        <v>1</v>
      </c>
      <c r="X10" s="245">
        <f t="shared" si="14"/>
        <v>7</v>
      </c>
      <c r="Y10" s="246">
        <f t="shared" si="15"/>
        <v>13.034532785415649</v>
      </c>
      <c r="Z10"/>
      <c r="AA10" s="247">
        <v>6</v>
      </c>
      <c r="AB10" s="248" t="str">
        <f>IF(LEN(A10)&gt;0,VLOOKUP(AA10,Markers!A:B,2,FALSE),"")</f>
        <v>Marker 6</v>
      </c>
      <c r="AC10" s="248">
        <f t="shared" si="16"/>
        <v>35</v>
      </c>
      <c r="AD10" s="249">
        <f t="shared" si="17"/>
        <v>69.435000777244568</v>
      </c>
      <c r="AE10" s="250">
        <f t="shared" si="18"/>
        <v>1.9838571650641306</v>
      </c>
      <c r="AF10" s="251">
        <f t="shared" si="19"/>
        <v>1</v>
      </c>
      <c r="AH10" s="252">
        <f t="shared" si="20"/>
        <v>10</v>
      </c>
      <c r="AI10" s="252">
        <f t="shared" si="21"/>
        <v>1</v>
      </c>
      <c r="AJ10" s="252" t="str">
        <f t="shared" si="22"/>
        <v>Marker 1</v>
      </c>
      <c r="AK10" s="252">
        <f t="shared" si="23"/>
        <v>1</v>
      </c>
      <c r="AL10" s="252" t="str">
        <f t="shared" si="24"/>
        <v>M</v>
      </c>
      <c r="AM10" s="253"/>
      <c r="AN10" s="254">
        <f t="shared" si="25"/>
        <v>1.8776527643203735</v>
      </c>
      <c r="AO10" s="254">
        <f t="shared" si="26"/>
        <v>2.5199580192565918</v>
      </c>
      <c r="AP10" s="254">
        <f t="shared" si="27"/>
        <v>1.491357684135437</v>
      </c>
      <c r="AQ10" s="254">
        <f t="shared" si="28"/>
        <v>1.7572124004364014</v>
      </c>
      <c r="AR10" s="254">
        <f>IF(AND(LEN(L10)&gt;0,$W10=1),L10*VLOOKUP($AI10,$AA:$AF,6,FALSE),"")</f>
        <v>1.7944871187210083</v>
      </c>
      <c r="AS10" s="254">
        <v>1.9601960597959245</v>
      </c>
      <c r="AT10" s="254">
        <f>IF(AND(LEN(N10)&gt;0,$W10=1),N10*VLOOKUP($AI10,$AA:$AF,6,FALSE),"")</f>
        <v>1.5407184362411499</v>
      </c>
      <c r="AU10" s="254">
        <f>SUM(AN10:AT10)</f>
        <v>12.941582482906886</v>
      </c>
      <c r="AW10" s="255">
        <v>10</v>
      </c>
      <c r="AX10" s="255" t="str">
        <f>IF(AW10&gt;0,VLOOKUP(AW10,E:F,2,FALSE),"")</f>
        <v>Project 10</v>
      </c>
      <c r="AY10" s="256">
        <f>IF(SUMIF($AH:$AH,$AW10,AN:AN)=0,"",SUMIF($AH:$AH,$AW10,AN:AN)/$BF10)</f>
        <v>1.7789248526096344</v>
      </c>
      <c r="AZ10" s="256">
        <f>IF(SUMIF($AH:$AH,$AW10,AO:AO)=0,"",SUMIF($AH:$AH,$AW10,AO:AO)/$BF10)</f>
        <v>1.8579203188419342</v>
      </c>
      <c r="BA10" s="256">
        <f>IF(SUMIF($AH:$AH,$AW10,AP:AP)=0,"",SUMIF($AH:$AH,$AW10,AP:AP)/$BF10)</f>
        <v>1.6333850920200348</v>
      </c>
      <c r="BB10" s="256">
        <f>IF(SUMIF($AH:$AH,$AW10,AQ:AQ)=0,"",SUMIF($AH:$AH,$AW10,AQ:AQ)/$BF10)</f>
        <v>2.019637256860733</v>
      </c>
      <c r="BC10" s="256">
        <f>IF(SUMIF($AH:$AH,$AW10,AR:AR)=0,"",SUMIF($AH:$AH,$AW10,AR:AR)/$BF10)</f>
        <v>1.9729413092136383</v>
      </c>
      <c r="BD10" s="256">
        <f t="shared" si="29"/>
        <v>2.1498032562310474</v>
      </c>
      <c r="BE10" s="256">
        <f t="shared" si="30"/>
        <v>2.3736738264560699</v>
      </c>
      <c r="BF10" s="257">
        <f t="shared" si="31"/>
        <v>4</v>
      </c>
      <c r="BG10" s="256">
        <f t="shared" si="32"/>
        <v>13.786285912233092</v>
      </c>
      <c r="BH10" s="234">
        <v>6</v>
      </c>
    </row>
    <row r="11" spans="1:60" x14ac:dyDescent="0.25">
      <c r="A11" s="206">
        <v>2</v>
      </c>
      <c r="B11" s="206" t="s">
        <v>99</v>
      </c>
      <c r="C11" s="206">
        <v>3</v>
      </c>
      <c r="D11" s="206" t="s">
        <v>151</v>
      </c>
      <c r="E11" s="206">
        <v>3</v>
      </c>
      <c r="F11" s="206" t="s">
        <v>86</v>
      </c>
      <c r="G11" s="241"/>
      <c r="H11" s="242">
        <v>2.1623528003692627</v>
      </c>
      <c r="I11" s="242">
        <v>1.4193979501724243</v>
      </c>
      <c r="J11" s="242">
        <v>1.1574177742004395</v>
      </c>
      <c r="K11" s="242">
        <v>2.790892481803894</v>
      </c>
      <c r="L11" s="242">
        <v>1.2228658199310303</v>
      </c>
      <c r="M11" s="242">
        <v>2.3047534227371216</v>
      </c>
      <c r="N11" s="242">
        <v>2.8006677627563477</v>
      </c>
      <c r="O11" s="243">
        <f>IF(AND(H11&gt;=H$3, H11&lt;=H$4),1,0)</f>
        <v>1</v>
      </c>
      <c r="P11" s="243">
        <f t="shared" si="7"/>
        <v>1</v>
      </c>
      <c r="Q11" s="243">
        <f t="shared" si="8"/>
        <v>1</v>
      </c>
      <c r="R11" s="243">
        <f t="shared" si="9"/>
        <v>1</v>
      </c>
      <c r="S11" s="243">
        <f t="shared" si="10"/>
        <v>1</v>
      </c>
      <c r="T11" s="243">
        <f t="shared" si="11"/>
        <v>1</v>
      </c>
      <c r="U11" s="243">
        <f t="shared" si="12"/>
        <v>1</v>
      </c>
      <c r="V11" s="244">
        <f t="shared" si="13"/>
        <v>7</v>
      </c>
      <c r="W11" s="243">
        <v>1</v>
      </c>
      <c r="X11" s="245">
        <f t="shared" si="14"/>
        <v>7</v>
      </c>
      <c r="Y11" s="246">
        <f t="shared" si="15"/>
        <v>13.85834801197052</v>
      </c>
      <c r="Z11"/>
      <c r="AA11" s="247">
        <v>7</v>
      </c>
      <c r="AB11" s="248" t="str">
        <f>IF(LEN(A11)&gt;0,VLOOKUP(AA11,Markers!A:B,2,FALSE),"")</f>
        <v>Marker 7</v>
      </c>
      <c r="AC11" s="248">
        <f t="shared" si="16"/>
        <v>35</v>
      </c>
      <c r="AD11" s="249">
        <f t="shared" si="17"/>
        <v>71.070622205734253</v>
      </c>
      <c r="AE11" s="250">
        <f t="shared" si="18"/>
        <v>2.0305892058781216</v>
      </c>
      <c r="AF11" s="251">
        <f t="shared" si="19"/>
        <v>1</v>
      </c>
      <c r="AH11" s="252">
        <f t="shared" si="20"/>
        <v>3</v>
      </c>
      <c r="AI11" s="252">
        <f t="shared" si="21"/>
        <v>2</v>
      </c>
      <c r="AJ11" s="252" t="str">
        <f t="shared" si="22"/>
        <v>Marker 2</v>
      </c>
      <c r="AK11" s="252">
        <f t="shared" si="23"/>
        <v>3</v>
      </c>
      <c r="AL11" s="252" t="str">
        <f t="shared" si="24"/>
        <v>L</v>
      </c>
      <c r="AM11" s="253"/>
      <c r="AN11" s="254">
        <f t="shared" si="25"/>
        <v>2.1623528003692627</v>
      </c>
      <c r="AO11" s="254">
        <f t="shared" si="26"/>
        <v>1.4193979501724243</v>
      </c>
      <c r="AP11" s="254">
        <f t="shared" si="27"/>
        <v>1.1574177742004395</v>
      </c>
      <c r="AQ11" s="254">
        <f t="shared" si="28"/>
        <v>2.790892481803894</v>
      </c>
      <c r="AR11" s="254">
        <f>IF(AND(LEN(L11)&gt;0,$W11=1),L11*VLOOKUP($AI11,$AA:$AF,6,FALSE),"")</f>
        <v>1.2228658199310303</v>
      </c>
      <c r="AS11" s="254">
        <v>3.1350904660909578</v>
      </c>
      <c r="AT11" s="254">
        <f>IF(AND(LEN(N11)&gt;0,$W11=1),N11*VLOOKUP($AI11,$AA:$AF,6,FALSE),"")</f>
        <v>2.8006677627563477</v>
      </c>
      <c r="AU11" s="254">
        <f>SUM(AN11:AT11)</f>
        <v>14.688685055324356</v>
      </c>
      <c r="AW11" s="255">
        <v>4</v>
      </c>
      <c r="AX11" s="255" t="str">
        <f>IF(AW11&gt;0,VLOOKUP(AW11,E:F,2,FALSE),"")</f>
        <v>Project 4</v>
      </c>
      <c r="AY11" s="256">
        <f>IF(SUMIF($AH:$AH,$AW11,AN:AN)=0,"",SUMIF($AH:$AH,$AW11,AN:AN)/$BF11)</f>
        <v>2.2994064390659332</v>
      </c>
      <c r="AZ11" s="256">
        <f>IF(SUMIF($AH:$AH,$AW11,AO:AO)=0,"",SUMIF($AH:$AH,$AW11,AO:AO)/$BF11)</f>
        <v>2.4961825907230377</v>
      </c>
      <c r="BA11" s="256">
        <f>IF(SUMIF($AH:$AH,$AW11,AP:AP)=0,"",SUMIF($AH:$AH,$AW11,AP:AP)/$BF11)</f>
        <v>1.6194771826267242</v>
      </c>
      <c r="BB11" s="256">
        <f>IF(SUMIF($AH:$AH,$AW11,AQ:AQ)=0,"",SUMIF($AH:$AH,$AW11,AQ:AQ)/$BF11)</f>
        <v>1.8587242662906647</v>
      </c>
      <c r="BC11" s="256">
        <f>IF(SUMIF($AH:$AH,$AW11,AR:AR)=0,"",SUMIF($AH:$AH,$AW11,AR:AR)/$BF11)</f>
        <v>2.0635904371738434</v>
      </c>
      <c r="BD11" s="256">
        <f t="shared" si="29"/>
        <v>2.2279986477743012</v>
      </c>
      <c r="BE11" s="256">
        <f t="shared" si="30"/>
        <v>1.6318987905979156</v>
      </c>
      <c r="BF11" s="257">
        <f t="shared" si="31"/>
        <v>4</v>
      </c>
      <c r="BG11" s="256">
        <f t="shared" si="32"/>
        <v>14.19727835425242</v>
      </c>
      <c r="BH11" s="234">
        <v>7</v>
      </c>
    </row>
    <row r="12" spans="1:60" x14ac:dyDescent="0.25">
      <c r="A12" s="206">
        <v>2</v>
      </c>
      <c r="B12" s="206" t="s">
        <v>99</v>
      </c>
      <c r="C12" s="206">
        <v>1</v>
      </c>
      <c r="D12" s="206" t="s">
        <v>152</v>
      </c>
      <c r="E12" s="206">
        <v>5</v>
      </c>
      <c r="F12" s="206" t="s">
        <v>88</v>
      </c>
      <c r="G12" s="241"/>
      <c r="H12" s="242">
        <v>1.4631932973861694</v>
      </c>
      <c r="I12" s="242">
        <v>2.8998110294342041</v>
      </c>
      <c r="J12" s="242">
        <v>2.6923748254776001</v>
      </c>
      <c r="K12" s="242">
        <v>1.8824324607849121</v>
      </c>
      <c r="L12" s="242">
        <v>1.9840124845504761</v>
      </c>
      <c r="M12" s="242">
        <v>2.5390136241912842</v>
      </c>
      <c r="N12" s="242">
        <v>2.6697865724563599</v>
      </c>
      <c r="O12" s="243">
        <f>IF(AND(H12&gt;=H$3, H12&lt;=H$4),1,0)</f>
        <v>1</v>
      </c>
      <c r="P12" s="243">
        <f t="shared" si="7"/>
        <v>1</v>
      </c>
      <c r="Q12" s="243">
        <f t="shared" si="8"/>
        <v>1</v>
      </c>
      <c r="R12" s="243">
        <f t="shared" si="9"/>
        <v>1</v>
      </c>
      <c r="S12" s="243">
        <f t="shared" si="10"/>
        <v>1</v>
      </c>
      <c r="T12" s="243">
        <f t="shared" si="11"/>
        <v>1</v>
      </c>
      <c r="U12" s="243">
        <f t="shared" si="12"/>
        <v>1</v>
      </c>
      <c r="V12" s="244">
        <f t="shared" si="13"/>
        <v>7</v>
      </c>
      <c r="W12" s="243">
        <v>1</v>
      </c>
      <c r="X12" s="245">
        <f t="shared" si="14"/>
        <v>7</v>
      </c>
      <c r="Y12" s="246">
        <f t="shared" si="15"/>
        <v>16.130624294281006</v>
      </c>
      <c r="Z12"/>
      <c r="AA12"/>
      <c r="AB12"/>
      <c r="AC12"/>
      <c r="AF12"/>
      <c r="AH12" s="252">
        <f t="shared" si="20"/>
        <v>5</v>
      </c>
      <c r="AI12" s="252">
        <f t="shared" si="21"/>
        <v>2</v>
      </c>
      <c r="AJ12" s="252" t="str">
        <f t="shared" si="22"/>
        <v>Marker 2</v>
      </c>
      <c r="AK12" s="252">
        <f t="shared" si="23"/>
        <v>1</v>
      </c>
      <c r="AL12" s="252" t="str">
        <f t="shared" si="24"/>
        <v>M</v>
      </c>
      <c r="AM12" s="253"/>
      <c r="AN12" s="254">
        <f t="shared" si="25"/>
        <v>1.4631932973861694</v>
      </c>
      <c r="AO12" s="254">
        <f t="shared" si="26"/>
        <v>2.8998110294342041</v>
      </c>
      <c r="AP12" s="254">
        <f t="shared" si="27"/>
        <v>2.6923748254776001</v>
      </c>
      <c r="AQ12" s="254">
        <f t="shared" si="28"/>
        <v>1.8824324607849121</v>
      </c>
      <c r="AR12" s="254">
        <f>IF(AND(LEN(L12)&gt;0,$W12=1),L12*VLOOKUP($AI12,$AA:$AF,6,FALSE),"")</f>
        <v>1.9840124845504761</v>
      </c>
      <c r="AS12" s="254">
        <v>3.2910168134879032</v>
      </c>
      <c r="AT12" s="254">
        <f>IF(AND(LEN(N12)&gt;0,$W12=1),N12*VLOOKUP($AI12,$AA:$AF,6,FALSE),"")</f>
        <v>2.6697865724563599</v>
      </c>
      <c r="AU12" s="254">
        <f>SUM(AN12:AT12)</f>
        <v>16.882627483577625</v>
      </c>
      <c r="AW12" s="255">
        <v>8</v>
      </c>
      <c r="AX12" s="255" t="str">
        <f>IF(AW12&gt;0,VLOOKUP(AW12,E:F,2,FALSE),"")</f>
        <v>Project 8</v>
      </c>
      <c r="AY12" s="256">
        <f>IF(SUMIF($AH:$AH,$AW12,AN:AN)=0,"",SUMIF($AH:$AH,$AW12,AN:AN)/$BF12)</f>
        <v>1.9711983203887939</v>
      </c>
      <c r="AZ12" s="256">
        <f>IF(SUMIF($AH:$AH,$AW12,AO:AO)=0,"",SUMIF($AH:$AH,$AW12,AO:AO)/$BF12)</f>
        <v>1.8756738901138306</v>
      </c>
      <c r="BA12" s="256">
        <f>IF(SUMIF($AH:$AH,$AW12,AP:AP)=0,"",SUMIF($AH:$AH,$AW12,AP:AP)/$BF12)</f>
        <v>1.6401524543762207</v>
      </c>
      <c r="BB12" s="256">
        <f>IF(SUMIF($AH:$AH,$AW12,AQ:AQ)=0,"",SUMIF($AH:$AH,$AW12,AQ:AQ)/$BF12)</f>
        <v>1.7880009412765503</v>
      </c>
      <c r="BC12" s="256">
        <f>IF(SUMIF($AH:$AH,$AW12,AR:AR)=0,"",SUMIF($AH:$AH,$AW12,AR:AR)/$BF12)</f>
        <v>2.3956029415130615</v>
      </c>
      <c r="BD12" s="256">
        <f t="shared" si="29"/>
        <v>2.0129973855483669</v>
      </c>
      <c r="BE12" s="256">
        <f t="shared" si="30"/>
        <v>1.8084268569946289</v>
      </c>
      <c r="BF12" s="257">
        <f t="shared" si="31"/>
        <v>4</v>
      </c>
      <c r="BG12" s="256">
        <f t="shared" si="32"/>
        <v>13.492052790211453</v>
      </c>
      <c r="BH12" s="234">
        <v>8</v>
      </c>
    </row>
    <row r="13" spans="1:60" x14ac:dyDescent="0.25">
      <c r="A13" s="206">
        <v>2</v>
      </c>
      <c r="B13" s="206" t="s">
        <v>99</v>
      </c>
      <c r="C13" s="206">
        <v>4</v>
      </c>
      <c r="D13" s="206" t="s">
        <v>151</v>
      </c>
      <c r="E13" s="206">
        <v>7</v>
      </c>
      <c r="F13" s="206" t="s">
        <v>90</v>
      </c>
      <c r="G13" s="241"/>
      <c r="H13" s="242">
        <v>1.7651386260986328</v>
      </c>
      <c r="I13" s="242">
        <v>1.391069769859314</v>
      </c>
      <c r="J13" s="242">
        <v>1.6523144245147705</v>
      </c>
      <c r="K13" s="242">
        <v>1.8264662027359009</v>
      </c>
      <c r="L13" s="242">
        <v>1.3053536415100098</v>
      </c>
      <c r="M13" s="242">
        <v>2.2396630048751831</v>
      </c>
      <c r="N13" s="242">
        <v>1.1988198757171631</v>
      </c>
      <c r="O13" s="243">
        <f>IF(AND(H13&gt;=H$3, H13&lt;=H$4),1,0)</f>
        <v>1</v>
      </c>
      <c r="P13" s="243">
        <f t="shared" si="7"/>
        <v>1</v>
      </c>
      <c r="Q13" s="243">
        <f t="shared" si="8"/>
        <v>1</v>
      </c>
      <c r="R13" s="243">
        <f t="shared" si="9"/>
        <v>1</v>
      </c>
      <c r="S13" s="243">
        <f t="shared" si="10"/>
        <v>1</v>
      </c>
      <c r="T13" s="243">
        <f t="shared" si="11"/>
        <v>1</v>
      </c>
      <c r="U13" s="243">
        <f t="shared" si="12"/>
        <v>1</v>
      </c>
      <c r="V13" s="244">
        <f t="shared" si="13"/>
        <v>7</v>
      </c>
      <c r="W13" s="243">
        <v>1</v>
      </c>
      <c r="X13" s="245">
        <f t="shared" si="14"/>
        <v>7</v>
      </c>
      <c r="Y13" s="246">
        <f t="shared" si="15"/>
        <v>11.378825545310974</v>
      </c>
      <c r="Z13"/>
      <c r="AA13"/>
      <c r="AB13"/>
      <c r="AC13"/>
      <c r="AF13"/>
      <c r="AH13" s="252">
        <f t="shared" si="20"/>
        <v>7</v>
      </c>
      <c r="AI13" s="252">
        <f t="shared" si="21"/>
        <v>2</v>
      </c>
      <c r="AJ13" s="252" t="str">
        <f t="shared" si="22"/>
        <v>Marker 2</v>
      </c>
      <c r="AK13" s="252">
        <f t="shared" si="23"/>
        <v>4</v>
      </c>
      <c r="AL13" s="252" t="str">
        <f t="shared" si="24"/>
        <v>L</v>
      </c>
      <c r="AM13" s="253"/>
      <c r="AN13" s="254">
        <f t="shared" si="25"/>
        <v>1.7651386260986328</v>
      </c>
      <c r="AO13" s="254">
        <f t="shared" si="26"/>
        <v>1.391069769859314</v>
      </c>
      <c r="AP13" s="254">
        <f t="shared" si="27"/>
        <v>1.6523144245147705</v>
      </c>
      <c r="AQ13" s="254">
        <f t="shared" si="28"/>
        <v>1.8264662027359009</v>
      </c>
      <c r="AR13" s="254">
        <f>IF(AND(LEN(L13)&gt;0,$W13=1),L13*VLOOKUP($AI13,$AA:$AF,6,FALSE),"")</f>
        <v>1.3053536415100098</v>
      </c>
      <c r="AS13" s="254">
        <v>1.2231917444917741</v>
      </c>
      <c r="AT13" s="254">
        <f>IF(AND(LEN(N13)&gt;0,$W13=1),N13*VLOOKUP($AI13,$AA:$AF,6,FALSE),"")</f>
        <v>1.1988198757171631</v>
      </c>
      <c r="AU13" s="254">
        <f>SUM(AN13:AT13)</f>
        <v>10.362354284927566</v>
      </c>
      <c r="AW13" s="255">
        <v>1</v>
      </c>
      <c r="AX13" s="255" t="str">
        <f>IF(AW13&gt;0,VLOOKUP(AW13,E:F,2,FALSE),"")</f>
        <v>Project 1</v>
      </c>
      <c r="AY13" s="256">
        <f>IF(SUMIF($AH:$AH,$AW13,AN:AN)=0,"",SUMIF($AH:$AH,$AW13,AN:AN)/$BF13)</f>
        <v>2.4147622883319855</v>
      </c>
      <c r="AZ13" s="256">
        <f>IF(SUMIF($AH:$AH,$AW13,AO:AO)=0,"",SUMIF($AH:$AH,$AW13,AO:AO)/$BF13)</f>
        <v>1.881926566362381</v>
      </c>
      <c r="BA13" s="256">
        <f>IF(SUMIF($AH:$AH,$AW13,AP:AP)=0,"",SUMIF($AH:$AH,$AW13,AP:AP)/$BF13)</f>
        <v>1.6418106853961945</v>
      </c>
      <c r="BB13" s="256">
        <f>IF(SUMIF($AH:$AH,$AW13,AQ:AQ)=0,"",SUMIF($AH:$AH,$AW13,AQ:AQ)/$BF13)</f>
        <v>1.628027468919754</v>
      </c>
      <c r="BC13" s="256">
        <f>IF(SUMIF($AH:$AH,$AW13,AR:AR)=0,"",SUMIF($AH:$AH,$AW13,AR:AR)/$BF13)</f>
        <v>2.1217696964740753</v>
      </c>
      <c r="BD13" s="256">
        <f t="shared" si="29"/>
        <v>2.5601294020405607</v>
      </c>
      <c r="BE13" s="256">
        <f t="shared" si="30"/>
        <v>1.8701117336750031</v>
      </c>
      <c r="BF13" s="257">
        <f t="shared" si="31"/>
        <v>4</v>
      </c>
      <c r="BG13" s="256">
        <f t="shared" si="32"/>
        <v>14.118537841199954</v>
      </c>
      <c r="BH13" s="234">
        <v>9</v>
      </c>
    </row>
    <row r="14" spans="1:60" x14ac:dyDescent="0.25">
      <c r="A14" s="206">
        <v>2</v>
      </c>
      <c r="B14" s="206" t="s">
        <v>99</v>
      </c>
      <c r="C14" s="206">
        <v>2</v>
      </c>
      <c r="D14" s="206" t="s">
        <v>152</v>
      </c>
      <c r="E14" s="206">
        <v>8</v>
      </c>
      <c r="F14" s="206" t="s">
        <v>91</v>
      </c>
      <c r="G14" s="241"/>
      <c r="H14" s="242">
        <v>1.4100943803787231</v>
      </c>
      <c r="I14" s="242">
        <v>2.385035514831543</v>
      </c>
      <c r="J14" s="242">
        <v>2.0089181661605835</v>
      </c>
      <c r="K14" s="242">
        <v>1.3661520481109619</v>
      </c>
      <c r="L14" s="242">
        <v>2.9828048944473267</v>
      </c>
      <c r="M14" s="242">
        <v>1.9427828788757324</v>
      </c>
      <c r="N14" s="242">
        <v>1.0080393552780151</v>
      </c>
      <c r="O14" s="243">
        <f>IF(AND(H14&gt;=H$3, H14&lt;=H$4),1,0)</f>
        <v>1</v>
      </c>
      <c r="P14" s="243">
        <f t="shared" si="7"/>
        <v>1</v>
      </c>
      <c r="Q14" s="243">
        <f t="shared" si="8"/>
        <v>1</v>
      </c>
      <c r="R14" s="243">
        <f t="shared" si="9"/>
        <v>1</v>
      </c>
      <c r="S14" s="243">
        <f t="shared" si="10"/>
        <v>1</v>
      </c>
      <c r="T14" s="243">
        <f t="shared" si="11"/>
        <v>1</v>
      </c>
      <c r="U14" s="243">
        <f t="shared" si="12"/>
        <v>1</v>
      </c>
      <c r="V14" s="244">
        <f t="shared" si="13"/>
        <v>7</v>
      </c>
      <c r="W14" s="243">
        <v>1</v>
      </c>
      <c r="X14" s="245">
        <f t="shared" si="14"/>
        <v>7</v>
      </c>
      <c r="Y14" s="246">
        <f t="shared" si="15"/>
        <v>13.103827238082886</v>
      </c>
      <c r="Z14"/>
      <c r="AA14"/>
      <c r="AB14"/>
      <c r="AC14"/>
      <c r="AF14"/>
      <c r="AH14" s="252">
        <f t="shared" si="20"/>
        <v>8</v>
      </c>
      <c r="AI14" s="252">
        <f t="shared" si="21"/>
        <v>2</v>
      </c>
      <c r="AJ14" s="252" t="str">
        <f t="shared" si="22"/>
        <v>Marker 2</v>
      </c>
      <c r="AK14" s="252">
        <f t="shared" si="23"/>
        <v>2</v>
      </c>
      <c r="AL14" s="252" t="str">
        <f t="shared" si="24"/>
        <v>M</v>
      </c>
      <c r="AM14" s="253"/>
      <c r="AN14" s="254">
        <f t="shared" si="25"/>
        <v>1.4100943803787231</v>
      </c>
      <c r="AO14" s="254">
        <f t="shared" si="26"/>
        <v>2.385035514831543</v>
      </c>
      <c r="AP14" s="254">
        <f t="shared" si="27"/>
        <v>2.0089181661605835</v>
      </c>
      <c r="AQ14" s="254">
        <f t="shared" si="28"/>
        <v>1.3661520481109619</v>
      </c>
      <c r="AR14" s="254">
        <f>IF(AND(LEN(L14)&gt;0,$W14=1),L14*VLOOKUP($AI14,$AA:$AF,6,FALSE),"")</f>
        <v>2.9828048944473267</v>
      </c>
      <c r="AS14" s="254">
        <v>1.3632557005075294</v>
      </c>
      <c r="AT14" s="254">
        <f>IF(AND(LEN(N14)&gt;0,$W14=1),N14*VLOOKUP($AI14,$AA:$AF,6,FALSE),"")</f>
        <v>1.0080393552780151</v>
      </c>
      <c r="AU14" s="254">
        <f>SUM(AN14:AT14)</f>
        <v>12.524300059714683</v>
      </c>
      <c r="AW14" s="255">
        <v>7</v>
      </c>
      <c r="AX14" s="255" t="str">
        <f>IF(AW14&gt;0,VLOOKUP(AW14,E:F,2,FALSE),"")</f>
        <v>Project 7</v>
      </c>
      <c r="AY14" s="256">
        <f>IF(SUMIF($AH:$AH,$AW14,AN:AN)=0,"",SUMIF($AH:$AH,$AW14,AN:AN)/$BF14)</f>
        <v>1.9706014394760132</v>
      </c>
      <c r="AZ14" s="256">
        <f>IF(SUMIF($AH:$AH,$AW14,AO:AO)=0,"",SUMIF($AH:$AH,$AW14,AO:AO)/$BF14)</f>
        <v>2.3385241031646729</v>
      </c>
      <c r="BA14" s="256">
        <f>IF(SUMIF($AH:$AH,$AW14,AP:AP)=0,"",SUMIF($AH:$AH,$AW14,AP:AP)/$BF14)</f>
        <v>1.9934231042861938</v>
      </c>
      <c r="BB14" s="256">
        <f>IF(SUMIF($AH:$AH,$AW14,AQ:AQ)=0,"",SUMIF($AH:$AH,$AW14,AQ:AQ)/$BF14)</f>
        <v>1.6277251243591309</v>
      </c>
      <c r="BC14" s="256">
        <f>IF(SUMIF($AH:$AH,$AW14,AR:AR)=0,"",SUMIF($AH:$AH,$AW14,AR:AR)/$BF14)</f>
        <v>1.8028219938278198</v>
      </c>
      <c r="BD14" s="256">
        <f t="shared" si="29"/>
        <v>2.3233964847009307</v>
      </c>
      <c r="BE14" s="256">
        <f t="shared" si="30"/>
        <v>1.5234471559524536</v>
      </c>
      <c r="BF14" s="257">
        <f t="shared" si="31"/>
        <v>4</v>
      </c>
      <c r="BG14" s="256">
        <f t="shared" si="32"/>
        <v>13.579939405767215</v>
      </c>
      <c r="BH14" s="234">
        <v>10</v>
      </c>
    </row>
    <row r="15" spans="1:60" x14ac:dyDescent="0.25">
      <c r="A15" s="206">
        <v>2</v>
      </c>
      <c r="B15" s="206" t="s">
        <v>99</v>
      </c>
      <c r="C15" s="206">
        <v>1</v>
      </c>
      <c r="D15" s="206" t="s">
        <v>152</v>
      </c>
      <c r="E15" s="206">
        <v>9</v>
      </c>
      <c r="F15" s="206" t="s">
        <v>92</v>
      </c>
      <c r="G15" s="241"/>
      <c r="H15" s="242">
        <v>1.851698637008667</v>
      </c>
      <c r="I15" s="242">
        <v>1.5774346590042114</v>
      </c>
      <c r="J15" s="242">
        <v>2.5050849914550781</v>
      </c>
      <c r="K15" s="242">
        <v>2.782558798789978</v>
      </c>
      <c r="L15" s="242">
        <v>2.6438629627227783</v>
      </c>
      <c r="M15" s="242">
        <v>1.3537737131118774</v>
      </c>
      <c r="N15" s="242">
        <v>1.2175717353820801</v>
      </c>
      <c r="O15" s="243">
        <f>IF(AND(H15&gt;=H$3, H15&lt;=H$4),1,0)</f>
        <v>1</v>
      </c>
      <c r="P15" s="243">
        <f t="shared" si="7"/>
        <v>1</v>
      </c>
      <c r="Q15" s="243">
        <f t="shared" si="8"/>
        <v>1</v>
      </c>
      <c r="R15" s="243">
        <f t="shared" si="9"/>
        <v>1</v>
      </c>
      <c r="S15" s="243">
        <f t="shared" si="10"/>
        <v>1</v>
      </c>
      <c r="T15" s="243">
        <f t="shared" si="11"/>
        <v>1</v>
      </c>
      <c r="U15" s="243">
        <f t="shared" si="12"/>
        <v>1</v>
      </c>
      <c r="V15" s="244">
        <f t="shared" si="13"/>
        <v>7</v>
      </c>
      <c r="W15" s="243">
        <v>1</v>
      </c>
      <c r="X15" s="245">
        <f t="shared" si="14"/>
        <v>7</v>
      </c>
      <c r="Y15" s="246">
        <f t="shared" si="15"/>
        <v>13.93198549747467</v>
      </c>
      <c r="Z15"/>
      <c r="AA15"/>
      <c r="AB15"/>
      <c r="AC15"/>
      <c r="AF15"/>
      <c r="AH15" s="252">
        <f t="shared" si="20"/>
        <v>9</v>
      </c>
      <c r="AI15" s="252">
        <f t="shared" si="21"/>
        <v>2</v>
      </c>
      <c r="AJ15" s="252" t="str">
        <f t="shared" si="22"/>
        <v>Marker 2</v>
      </c>
      <c r="AK15" s="252">
        <f t="shared" si="23"/>
        <v>1</v>
      </c>
      <c r="AL15" s="252" t="str">
        <f t="shared" si="24"/>
        <v>M</v>
      </c>
      <c r="AM15" s="253"/>
      <c r="AN15" s="254">
        <f t="shared" si="25"/>
        <v>1.851698637008667</v>
      </c>
      <c r="AO15" s="254">
        <f t="shared" si="26"/>
        <v>1.5774346590042114</v>
      </c>
      <c r="AP15" s="254">
        <f t="shared" si="27"/>
        <v>2.5050849914550781</v>
      </c>
      <c r="AQ15" s="254">
        <f t="shared" si="28"/>
        <v>2.782558798789978</v>
      </c>
      <c r="AR15" s="254">
        <f t="shared" ref="AR6:AR44" si="33">IF(AND(LEN(L15)&gt;0,$W15=1),L15*VLOOKUP($AI15,$AA:$AF,6,FALSE),"")</f>
        <v>2.6438629627227783</v>
      </c>
      <c r="AS15" s="254">
        <v>2.7582130798479545</v>
      </c>
      <c r="AT15" s="254">
        <f t="shared" ref="AT6:AT44" si="34">IF(AND(LEN(N15)&gt;0,$W15=1),N15*VLOOKUP($AI15,$AA:$AF,6,FALSE),"")</f>
        <v>1.2175717353820801</v>
      </c>
      <c r="AU15" s="254">
        <f t="shared" ref="AU6:AU44" si="35">SUM(AN15:AT15)</f>
        <v>15.336424864210748</v>
      </c>
    </row>
    <row r="16" spans="1:60" x14ac:dyDescent="0.25">
      <c r="A16" s="206">
        <v>2</v>
      </c>
      <c r="B16" s="206" t="s">
        <v>99</v>
      </c>
      <c r="C16" s="206">
        <v>3</v>
      </c>
      <c r="D16" s="206" t="s">
        <v>151</v>
      </c>
      <c r="E16" s="206">
        <v>10</v>
      </c>
      <c r="F16" s="206" t="s">
        <v>93</v>
      </c>
      <c r="G16" s="241"/>
      <c r="H16" s="242">
        <v>1.0205868482589722</v>
      </c>
      <c r="I16" s="242">
        <v>1.3033139705657959</v>
      </c>
      <c r="J16" s="242">
        <v>1.7548152208328247</v>
      </c>
      <c r="K16" s="242">
        <v>1.3762636184692383</v>
      </c>
      <c r="L16" s="242">
        <v>2.9590619802474976</v>
      </c>
      <c r="M16" s="242">
        <v>2.7442362308502197</v>
      </c>
      <c r="N16" s="242">
        <v>2.1630054712295532</v>
      </c>
      <c r="O16" s="243">
        <f>IF(AND(H16&gt;=H$3, H16&lt;=H$4),1,0)</f>
        <v>1</v>
      </c>
      <c r="P16" s="243">
        <f t="shared" si="7"/>
        <v>1</v>
      </c>
      <c r="Q16" s="243">
        <f t="shared" si="8"/>
        <v>1</v>
      </c>
      <c r="R16" s="243">
        <f t="shared" si="9"/>
        <v>1</v>
      </c>
      <c r="S16" s="243">
        <f t="shared" si="10"/>
        <v>1</v>
      </c>
      <c r="T16" s="243">
        <f t="shared" si="11"/>
        <v>1</v>
      </c>
      <c r="U16" s="243">
        <f t="shared" si="12"/>
        <v>1</v>
      </c>
      <c r="V16" s="244">
        <f t="shared" si="13"/>
        <v>7</v>
      </c>
      <c r="W16" s="243">
        <v>1</v>
      </c>
      <c r="X16" s="245">
        <f t="shared" si="14"/>
        <v>7</v>
      </c>
      <c r="Y16" s="246">
        <f t="shared" si="15"/>
        <v>13.321283340454102</v>
      </c>
      <c r="Z16"/>
      <c r="AA16"/>
      <c r="AB16"/>
      <c r="AC16"/>
      <c r="AF16"/>
      <c r="AH16" s="252">
        <f t="shared" si="20"/>
        <v>10</v>
      </c>
      <c r="AI16" s="252">
        <f t="shared" si="21"/>
        <v>2</v>
      </c>
      <c r="AJ16" s="252" t="str">
        <f t="shared" si="22"/>
        <v>Marker 2</v>
      </c>
      <c r="AK16" s="252">
        <f t="shared" si="23"/>
        <v>3</v>
      </c>
      <c r="AL16" s="252" t="str">
        <f t="shared" si="24"/>
        <v>L</v>
      </c>
      <c r="AM16" s="253"/>
      <c r="AN16" s="254">
        <f t="shared" si="25"/>
        <v>1.0205868482589722</v>
      </c>
      <c r="AO16" s="254">
        <f t="shared" si="26"/>
        <v>1.3033139705657959</v>
      </c>
      <c r="AP16" s="254">
        <f t="shared" si="27"/>
        <v>1.7548152208328247</v>
      </c>
      <c r="AQ16" s="254">
        <f t="shared" si="28"/>
        <v>1.3762636184692383</v>
      </c>
      <c r="AR16" s="254">
        <f t="shared" si="33"/>
        <v>2.9590619802474976</v>
      </c>
      <c r="AS16" s="254">
        <v>1.7017022146231311</v>
      </c>
      <c r="AT16" s="254">
        <f t="shared" si="34"/>
        <v>2.1630054712295532</v>
      </c>
      <c r="AU16" s="254">
        <f t="shared" si="35"/>
        <v>12.278749324227013</v>
      </c>
    </row>
    <row r="17" spans="1:47" x14ac:dyDescent="0.25">
      <c r="A17" s="206">
        <v>3</v>
      </c>
      <c r="B17" s="206" t="s">
        <v>100</v>
      </c>
      <c r="C17" s="206">
        <v>2</v>
      </c>
      <c r="D17" s="206" t="s">
        <v>152</v>
      </c>
      <c r="E17" s="206">
        <v>1</v>
      </c>
      <c r="F17" s="206" t="s">
        <v>84</v>
      </c>
      <c r="G17" s="241"/>
      <c r="H17" s="242">
        <v>2.4588217735290527</v>
      </c>
      <c r="I17" s="242">
        <v>1.2900007963180542</v>
      </c>
      <c r="J17" s="242">
        <v>1.5155799388885498</v>
      </c>
      <c r="K17" s="242">
        <v>1.056493878364563</v>
      </c>
      <c r="L17" s="242">
        <v>2.6557979583740234</v>
      </c>
      <c r="M17" s="242">
        <v>2.5667480230331421</v>
      </c>
      <c r="N17" s="242">
        <v>2.5823109149932861</v>
      </c>
      <c r="O17" s="243">
        <f>IF(AND(H17&gt;=H$3, H17&lt;=H$4),1,0)</f>
        <v>1</v>
      </c>
      <c r="P17" s="243">
        <f t="shared" si="7"/>
        <v>1</v>
      </c>
      <c r="Q17" s="243">
        <f t="shared" si="8"/>
        <v>1</v>
      </c>
      <c r="R17" s="243">
        <f t="shared" si="9"/>
        <v>1</v>
      </c>
      <c r="S17" s="243">
        <f t="shared" si="10"/>
        <v>1</v>
      </c>
      <c r="T17" s="243">
        <f t="shared" si="11"/>
        <v>1</v>
      </c>
      <c r="U17" s="243">
        <f t="shared" si="12"/>
        <v>1</v>
      </c>
      <c r="V17" s="244">
        <f t="shared" si="13"/>
        <v>7</v>
      </c>
      <c r="W17" s="243">
        <v>1</v>
      </c>
      <c r="X17" s="245">
        <f t="shared" si="14"/>
        <v>7</v>
      </c>
      <c r="Y17" s="246">
        <f t="shared" si="15"/>
        <v>14.125753283500671</v>
      </c>
      <c r="Z17"/>
      <c r="AA17"/>
      <c r="AB17"/>
      <c r="AC17"/>
      <c r="AF17"/>
      <c r="AH17" s="252">
        <f t="shared" si="20"/>
        <v>1</v>
      </c>
      <c r="AI17" s="252">
        <f t="shared" si="21"/>
        <v>3</v>
      </c>
      <c r="AJ17" s="252" t="str">
        <f t="shared" si="22"/>
        <v>Marker 3</v>
      </c>
      <c r="AK17" s="252">
        <f t="shared" si="23"/>
        <v>2</v>
      </c>
      <c r="AL17" s="252" t="str">
        <f t="shared" si="24"/>
        <v>M</v>
      </c>
      <c r="AM17" s="253"/>
      <c r="AN17" s="254">
        <f t="shared" si="25"/>
        <v>2.4588217735290527</v>
      </c>
      <c r="AO17" s="254">
        <f t="shared" si="26"/>
        <v>1.2900007963180542</v>
      </c>
      <c r="AP17" s="254">
        <f t="shared" si="27"/>
        <v>1.5155799388885498</v>
      </c>
      <c r="AQ17" s="254">
        <f t="shared" si="28"/>
        <v>1.056493878364563</v>
      </c>
      <c r="AR17" s="254">
        <f t="shared" si="33"/>
        <v>2.6557979583740234</v>
      </c>
      <c r="AS17" s="254">
        <v>3.240118366540524</v>
      </c>
      <c r="AT17" s="254">
        <f t="shared" si="34"/>
        <v>2.5823109149932861</v>
      </c>
      <c r="AU17" s="254">
        <f t="shared" si="35"/>
        <v>14.799123627008054</v>
      </c>
    </row>
    <row r="18" spans="1:47" x14ac:dyDescent="0.25">
      <c r="A18" s="206">
        <v>3</v>
      </c>
      <c r="B18" s="206" t="s">
        <v>100</v>
      </c>
      <c r="C18" s="206">
        <v>4</v>
      </c>
      <c r="D18" s="206" t="s">
        <v>151</v>
      </c>
      <c r="E18" s="206">
        <v>2</v>
      </c>
      <c r="F18" s="206" t="s">
        <v>85</v>
      </c>
      <c r="G18" s="241"/>
      <c r="H18" s="242">
        <v>1.665382981300354</v>
      </c>
      <c r="I18" s="242">
        <v>1.9018845558166504</v>
      </c>
      <c r="J18" s="242">
        <v>2.1102265119552612</v>
      </c>
      <c r="K18" s="242">
        <v>2.6066606044769287</v>
      </c>
      <c r="L18" s="242">
        <v>2.1279784440994263</v>
      </c>
      <c r="M18" s="242">
        <v>1.4071645736694336</v>
      </c>
      <c r="N18" s="242">
        <v>1.4151872396469116</v>
      </c>
      <c r="O18" s="243">
        <f>IF(AND(H18&gt;=H$3, H18&lt;=H$4),1,0)</f>
        <v>1</v>
      </c>
      <c r="P18" s="243">
        <f t="shared" si="7"/>
        <v>1</v>
      </c>
      <c r="Q18" s="243">
        <f t="shared" si="8"/>
        <v>1</v>
      </c>
      <c r="R18" s="243">
        <f t="shared" si="9"/>
        <v>1</v>
      </c>
      <c r="S18" s="243">
        <f t="shared" si="10"/>
        <v>1</v>
      </c>
      <c r="T18" s="243">
        <f t="shared" si="11"/>
        <v>1</v>
      </c>
      <c r="U18" s="243">
        <f t="shared" si="12"/>
        <v>1</v>
      </c>
      <c r="V18" s="244">
        <f t="shared" si="13"/>
        <v>7</v>
      </c>
      <c r="W18" s="243">
        <v>1</v>
      </c>
      <c r="X18" s="245">
        <f t="shared" si="14"/>
        <v>7</v>
      </c>
      <c r="Y18" s="246">
        <f t="shared" si="15"/>
        <v>13.234484910964966</v>
      </c>
      <c r="Z18"/>
      <c r="AA18"/>
      <c r="AB18"/>
      <c r="AC18"/>
      <c r="AF18"/>
      <c r="AH18" s="252">
        <f t="shared" si="20"/>
        <v>2</v>
      </c>
      <c r="AI18" s="252">
        <f t="shared" si="21"/>
        <v>3</v>
      </c>
      <c r="AJ18" s="252" t="str">
        <f t="shared" si="22"/>
        <v>Marker 3</v>
      </c>
      <c r="AK18" s="252">
        <f t="shared" si="23"/>
        <v>4</v>
      </c>
      <c r="AL18" s="252" t="str">
        <f t="shared" si="24"/>
        <v>L</v>
      </c>
      <c r="AM18" s="253"/>
      <c r="AN18" s="254">
        <f t="shared" si="25"/>
        <v>1.665382981300354</v>
      </c>
      <c r="AO18" s="254">
        <f t="shared" si="26"/>
        <v>1.9018845558166504</v>
      </c>
      <c r="AP18" s="254">
        <f t="shared" si="27"/>
        <v>2.1102265119552612</v>
      </c>
      <c r="AQ18" s="254">
        <f t="shared" si="28"/>
        <v>2.6066606044769287</v>
      </c>
      <c r="AR18" s="254">
        <f t="shared" si="33"/>
        <v>2.1279784440994263</v>
      </c>
      <c r="AS18" s="254">
        <v>3.042322966514011</v>
      </c>
      <c r="AT18" s="254">
        <f t="shared" si="34"/>
        <v>1.4151872396469116</v>
      </c>
      <c r="AU18" s="254">
        <f t="shared" si="35"/>
        <v>14.869643303809543</v>
      </c>
    </row>
    <row r="19" spans="1:47" x14ac:dyDescent="0.25">
      <c r="A19" s="206">
        <v>3</v>
      </c>
      <c r="B19" s="206" t="s">
        <v>100</v>
      </c>
      <c r="C19" s="206">
        <v>1</v>
      </c>
      <c r="D19" s="206" t="s">
        <v>151</v>
      </c>
      <c r="E19" s="206">
        <v>4</v>
      </c>
      <c r="F19" s="206" t="s">
        <v>87</v>
      </c>
      <c r="G19" s="241"/>
      <c r="H19" s="242">
        <v>1.7293760776519775</v>
      </c>
      <c r="I19" s="242">
        <v>2.1470390558242798</v>
      </c>
      <c r="J19" s="242">
        <v>1.688361644744873</v>
      </c>
      <c r="K19" s="242">
        <v>2.0564593076705933</v>
      </c>
      <c r="L19" s="242">
        <v>1.8509700298309326</v>
      </c>
      <c r="M19" s="242">
        <v>2.1460267305374146</v>
      </c>
      <c r="N19" s="242">
        <v>1.1000900268554688</v>
      </c>
      <c r="O19" s="243">
        <f>IF(AND(H19&gt;=H$3, H19&lt;=H$4),1,0)</f>
        <v>1</v>
      </c>
      <c r="P19" s="243">
        <f t="shared" si="7"/>
        <v>1</v>
      </c>
      <c r="Q19" s="243">
        <f t="shared" si="8"/>
        <v>1</v>
      </c>
      <c r="R19" s="243">
        <f t="shared" si="9"/>
        <v>1</v>
      </c>
      <c r="S19" s="243">
        <f t="shared" si="10"/>
        <v>1</v>
      </c>
      <c r="T19" s="243">
        <f t="shared" si="11"/>
        <v>1</v>
      </c>
      <c r="U19" s="243">
        <f t="shared" si="12"/>
        <v>1</v>
      </c>
      <c r="V19" s="244">
        <f t="shared" si="13"/>
        <v>7</v>
      </c>
      <c r="W19" s="243">
        <v>1</v>
      </c>
      <c r="X19" s="245">
        <f t="shared" si="14"/>
        <v>7</v>
      </c>
      <c r="Y19" s="246">
        <f t="shared" si="15"/>
        <v>12.71832287311554</v>
      </c>
      <c r="Z19"/>
      <c r="AA19"/>
      <c r="AB19"/>
      <c r="AC19"/>
      <c r="AF19"/>
      <c r="AH19" s="252">
        <f t="shared" si="20"/>
        <v>4</v>
      </c>
      <c r="AI19" s="252">
        <f t="shared" si="21"/>
        <v>3</v>
      </c>
      <c r="AJ19" s="252" t="str">
        <f t="shared" si="22"/>
        <v>Marker 3</v>
      </c>
      <c r="AK19" s="252">
        <f t="shared" si="23"/>
        <v>1</v>
      </c>
      <c r="AL19" s="252" t="str">
        <f t="shared" si="24"/>
        <v>L</v>
      </c>
      <c r="AM19" s="253"/>
      <c r="AN19" s="254">
        <f t="shared" si="25"/>
        <v>1.7293760776519775</v>
      </c>
      <c r="AO19" s="254">
        <f t="shared" si="26"/>
        <v>2.1470390558242798</v>
      </c>
      <c r="AP19" s="254">
        <f t="shared" si="27"/>
        <v>1.688361644744873</v>
      </c>
      <c r="AQ19" s="254">
        <f t="shared" si="28"/>
        <v>2.0564593076705933</v>
      </c>
      <c r="AR19" s="254">
        <f t="shared" si="33"/>
        <v>1.8509700298309326</v>
      </c>
      <c r="AS19" s="254">
        <v>3.133215477976472</v>
      </c>
      <c r="AT19" s="254">
        <f t="shared" si="34"/>
        <v>1.1000900268554688</v>
      </c>
      <c r="AU19" s="254">
        <f t="shared" si="35"/>
        <v>13.705511620554597</v>
      </c>
    </row>
    <row r="20" spans="1:47" x14ac:dyDescent="0.25">
      <c r="A20" s="206">
        <v>3</v>
      </c>
      <c r="B20" s="206" t="s">
        <v>100</v>
      </c>
      <c r="C20" s="206">
        <v>2</v>
      </c>
      <c r="D20" s="206" t="s">
        <v>151</v>
      </c>
      <c r="E20" s="206">
        <v>6</v>
      </c>
      <c r="F20" s="206" t="s">
        <v>89</v>
      </c>
      <c r="G20" s="241"/>
      <c r="H20" s="242">
        <v>2.0951999425888062</v>
      </c>
      <c r="I20" s="242">
        <v>1.4129707813262939</v>
      </c>
      <c r="J20" s="242">
        <v>2.9253565073013306</v>
      </c>
      <c r="K20" s="242">
        <v>2.8661046028137207</v>
      </c>
      <c r="L20" s="242">
        <v>2.9851444959640503</v>
      </c>
      <c r="M20" s="242">
        <v>2.6791722774505615</v>
      </c>
      <c r="N20" s="242">
        <v>1.8186465501785278</v>
      </c>
      <c r="O20" s="243">
        <f>IF(AND(H20&gt;=H$3, H20&lt;=H$4),1,0)</f>
        <v>1</v>
      </c>
      <c r="P20" s="243">
        <f t="shared" si="7"/>
        <v>1</v>
      </c>
      <c r="Q20" s="243">
        <f t="shared" si="8"/>
        <v>1</v>
      </c>
      <c r="R20" s="243">
        <f t="shared" si="9"/>
        <v>1</v>
      </c>
      <c r="S20" s="243">
        <f t="shared" si="10"/>
        <v>1</v>
      </c>
      <c r="T20" s="243">
        <f t="shared" si="11"/>
        <v>1</v>
      </c>
      <c r="U20" s="243">
        <f t="shared" si="12"/>
        <v>1</v>
      </c>
      <c r="V20" s="244">
        <f t="shared" si="13"/>
        <v>7</v>
      </c>
      <c r="W20" s="243">
        <v>1</v>
      </c>
      <c r="X20" s="245">
        <f t="shared" si="14"/>
        <v>7</v>
      </c>
      <c r="Y20" s="246">
        <f t="shared" si="15"/>
        <v>16.782595157623291</v>
      </c>
      <c r="Z20"/>
      <c r="AA20"/>
      <c r="AB20"/>
      <c r="AC20"/>
      <c r="AF20"/>
      <c r="AH20" s="252">
        <f t="shared" si="20"/>
        <v>6</v>
      </c>
      <c r="AI20" s="252">
        <f t="shared" si="21"/>
        <v>3</v>
      </c>
      <c r="AJ20" s="252" t="str">
        <f t="shared" si="22"/>
        <v>Marker 3</v>
      </c>
      <c r="AK20" s="252">
        <f t="shared" si="23"/>
        <v>2</v>
      </c>
      <c r="AL20" s="252" t="str">
        <f t="shared" si="24"/>
        <v>L</v>
      </c>
      <c r="AM20" s="253"/>
      <c r="AN20" s="254">
        <f t="shared" si="25"/>
        <v>2.0951999425888062</v>
      </c>
      <c r="AO20" s="254">
        <f t="shared" si="26"/>
        <v>1.4129707813262939</v>
      </c>
      <c r="AP20" s="254">
        <f t="shared" si="27"/>
        <v>2.9253565073013306</v>
      </c>
      <c r="AQ20" s="254">
        <f t="shared" si="28"/>
        <v>2.8661046028137207</v>
      </c>
      <c r="AR20" s="254">
        <f t="shared" si="33"/>
        <v>2.9851444959640503</v>
      </c>
      <c r="AS20" s="254">
        <v>1.9871905678889907</v>
      </c>
      <c r="AT20" s="254">
        <f t="shared" si="34"/>
        <v>1.8186465501785278</v>
      </c>
      <c r="AU20" s="254">
        <f t="shared" si="35"/>
        <v>16.09061344806172</v>
      </c>
    </row>
    <row r="21" spans="1:47" x14ac:dyDescent="0.25">
      <c r="A21" s="206">
        <v>3</v>
      </c>
      <c r="B21" s="206" t="s">
        <v>100</v>
      </c>
      <c r="C21" s="206">
        <v>3</v>
      </c>
      <c r="D21" s="206" t="s">
        <v>151</v>
      </c>
      <c r="E21" s="206">
        <v>7</v>
      </c>
      <c r="F21" s="206" t="s">
        <v>90</v>
      </c>
      <c r="G21" s="241"/>
      <c r="H21" s="242">
        <v>2.6105508804321289</v>
      </c>
      <c r="I21" s="242">
        <v>2.9788564443588257</v>
      </c>
      <c r="J21" s="242">
        <v>1.5168840885162354</v>
      </c>
      <c r="K21" s="242">
        <v>1.3489681482315063</v>
      </c>
      <c r="L21" s="242">
        <v>2.3892149925231934</v>
      </c>
      <c r="M21" s="242">
        <v>1.0339773893356323</v>
      </c>
      <c r="N21" s="242">
        <v>1.6781814098358154</v>
      </c>
      <c r="O21" s="243">
        <f>IF(AND(H21&gt;=H$3, H21&lt;=H$4),1,0)</f>
        <v>1</v>
      </c>
      <c r="P21" s="243">
        <f t="shared" si="7"/>
        <v>1</v>
      </c>
      <c r="Q21" s="243">
        <f t="shared" si="8"/>
        <v>1</v>
      </c>
      <c r="R21" s="243">
        <f t="shared" si="9"/>
        <v>1</v>
      </c>
      <c r="S21" s="243">
        <f t="shared" si="10"/>
        <v>1</v>
      </c>
      <c r="T21" s="243">
        <f t="shared" si="11"/>
        <v>1</v>
      </c>
      <c r="U21" s="243">
        <f t="shared" si="12"/>
        <v>1</v>
      </c>
      <c r="V21" s="244">
        <f t="shared" si="13"/>
        <v>7</v>
      </c>
      <c r="W21" s="243">
        <v>1</v>
      </c>
      <c r="X21" s="245">
        <f t="shared" si="14"/>
        <v>7</v>
      </c>
      <c r="Y21" s="246">
        <f t="shared" si="15"/>
        <v>13.556633353233337</v>
      </c>
      <c r="Z21"/>
      <c r="AA21"/>
      <c r="AB21"/>
      <c r="AC21"/>
      <c r="AF21"/>
      <c r="AH21" s="252">
        <f t="shared" si="20"/>
        <v>7</v>
      </c>
      <c r="AI21" s="252">
        <f t="shared" si="21"/>
        <v>3</v>
      </c>
      <c r="AJ21" s="252" t="str">
        <f t="shared" si="22"/>
        <v>Marker 3</v>
      </c>
      <c r="AK21" s="252">
        <f t="shared" si="23"/>
        <v>3</v>
      </c>
      <c r="AL21" s="252" t="str">
        <f t="shared" si="24"/>
        <v>L</v>
      </c>
      <c r="AM21" s="253"/>
      <c r="AN21" s="254">
        <f t="shared" si="25"/>
        <v>2.6105508804321289</v>
      </c>
      <c r="AO21" s="254">
        <f t="shared" si="26"/>
        <v>2.9788564443588257</v>
      </c>
      <c r="AP21" s="254">
        <f t="shared" si="27"/>
        <v>1.5168840885162354</v>
      </c>
      <c r="AQ21" s="254">
        <f t="shared" si="28"/>
        <v>1.3489681482315063</v>
      </c>
      <c r="AR21" s="254">
        <f t="shared" si="33"/>
        <v>2.3892149925231934</v>
      </c>
      <c r="AS21" s="254">
        <v>2.0520600256500052</v>
      </c>
      <c r="AT21" s="254">
        <f t="shared" si="34"/>
        <v>1.6781814098358154</v>
      </c>
      <c r="AU21" s="254">
        <f t="shared" si="35"/>
        <v>14.574715989547711</v>
      </c>
    </row>
    <row r="22" spans="1:47" x14ac:dyDescent="0.25">
      <c r="A22" s="206">
        <v>3</v>
      </c>
      <c r="B22" s="206" t="s">
        <v>100</v>
      </c>
      <c r="C22" s="206">
        <v>4</v>
      </c>
      <c r="D22" s="206" t="s">
        <v>151</v>
      </c>
      <c r="E22" s="206">
        <v>8</v>
      </c>
      <c r="F22" s="206" t="s">
        <v>91</v>
      </c>
      <c r="G22" s="241"/>
      <c r="H22" s="242">
        <v>2.3850957155227661</v>
      </c>
      <c r="I22" s="242">
        <v>1.2207736968994141</v>
      </c>
      <c r="J22" s="242">
        <v>1.2194770574569702</v>
      </c>
      <c r="K22" s="242">
        <v>1.5811550617218018</v>
      </c>
      <c r="L22" s="242">
        <v>1.7977567911148071</v>
      </c>
      <c r="M22" s="242">
        <v>2.118044376373291</v>
      </c>
      <c r="N22" s="242">
        <v>1.6219033002853394</v>
      </c>
      <c r="O22" s="243">
        <f>IF(AND(H22&gt;=H$3, H22&lt;=H$4),1,0)</f>
        <v>1</v>
      </c>
      <c r="P22" s="243">
        <f t="shared" si="7"/>
        <v>1</v>
      </c>
      <c r="Q22" s="243">
        <f t="shared" si="8"/>
        <v>1</v>
      </c>
      <c r="R22" s="243">
        <f t="shared" si="9"/>
        <v>1</v>
      </c>
      <c r="S22" s="243">
        <f t="shared" si="10"/>
        <v>1</v>
      </c>
      <c r="T22" s="243">
        <f t="shared" si="11"/>
        <v>1</v>
      </c>
      <c r="U22" s="243">
        <f t="shared" si="12"/>
        <v>1</v>
      </c>
      <c r="V22" s="244">
        <f t="shared" si="13"/>
        <v>7</v>
      </c>
      <c r="W22" s="243">
        <v>1</v>
      </c>
      <c r="X22" s="245">
        <f t="shared" si="14"/>
        <v>7</v>
      </c>
      <c r="Y22" s="246">
        <f t="shared" si="15"/>
        <v>11.94420599937439</v>
      </c>
      <c r="Z22"/>
      <c r="AA22"/>
      <c r="AB22"/>
      <c r="AC22"/>
      <c r="AF22"/>
      <c r="AH22" s="252">
        <f t="shared" si="20"/>
        <v>8</v>
      </c>
      <c r="AI22" s="252">
        <f t="shared" si="21"/>
        <v>3</v>
      </c>
      <c r="AJ22" s="252" t="str">
        <f t="shared" si="22"/>
        <v>Marker 3</v>
      </c>
      <c r="AK22" s="252">
        <f t="shared" si="23"/>
        <v>4</v>
      </c>
      <c r="AL22" s="252" t="str">
        <f t="shared" si="24"/>
        <v>L</v>
      </c>
      <c r="AM22" s="253"/>
      <c r="AN22" s="254">
        <f t="shared" si="25"/>
        <v>2.3850957155227661</v>
      </c>
      <c r="AO22" s="254">
        <f t="shared" si="26"/>
        <v>1.2207736968994141</v>
      </c>
      <c r="AP22" s="254">
        <f t="shared" si="27"/>
        <v>1.2194770574569702</v>
      </c>
      <c r="AQ22" s="254">
        <f t="shared" si="28"/>
        <v>1.5811550617218018</v>
      </c>
      <c r="AR22" s="254">
        <f t="shared" si="33"/>
        <v>1.7977567911148071</v>
      </c>
      <c r="AS22" s="254">
        <v>1.4580820832954651</v>
      </c>
      <c r="AT22" s="254">
        <f t="shared" si="34"/>
        <v>1.6219033002853394</v>
      </c>
      <c r="AU22" s="254">
        <f t="shared" si="35"/>
        <v>11.284243706296564</v>
      </c>
    </row>
    <row r="23" spans="1:47" x14ac:dyDescent="0.25">
      <c r="A23" s="206">
        <v>4</v>
      </c>
      <c r="B23" s="206" t="s">
        <v>101</v>
      </c>
      <c r="C23" s="206">
        <v>4</v>
      </c>
      <c r="D23" s="206" t="s">
        <v>151</v>
      </c>
      <c r="E23" s="206">
        <v>1</v>
      </c>
      <c r="F23" s="206" t="s">
        <v>84</v>
      </c>
      <c r="G23" s="241"/>
      <c r="H23" s="242">
        <v>1.5911614894866943</v>
      </c>
      <c r="I23" s="242">
        <v>2.6158820390701294</v>
      </c>
      <c r="J23" s="242">
        <v>1.6192350387573242</v>
      </c>
      <c r="K23" s="242">
        <v>1.7516320943832397</v>
      </c>
      <c r="L23" s="242">
        <v>1.8020727634429932</v>
      </c>
      <c r="M23" s="242">
        <v>2.6828552484512329</v>
      </c>
      <c r="N23" s="242">
        <v>1.8191943168640137</v>
      </c>
      <c r="O23" s="243">
        <f>IF(AND(H23&gt;=H$3, H23&lt;=H$4),1,0)</f>
        <v>1</v>
      </c>
      <c r="P23" s="243">
        <f t="shared" si="7"/>
        <v>1</v>
      </c>
      <c r="Q23" s="243">
        <f t="shared" si="8"/>
        <v>1</v>
      </c>
      <c r="R23" s="243">
        <f t="shared" si="9"/>
        <v>1</v>
      </c>
      <c r="S23" s="243">
        <f t="shared" si="10"/>
        <v>1</v>
      </c>
      <c r="T23" s="243">
        <f t="shared" si="11"/>
        <v>1</v>
      </c>
      <c r="U23" s="243">
        <f t="shared" si="12"/>
        <v>1</v>
      </c>
      <c r="V23" s="244">
        <f t="shared" si="13"/>
        <v>7</v>
      </c>
      <c r="W23" s="243">
        <v>1</v>
      </c>
      <c r="X23" s="245">
        <f t="shared" si="14"/>
        <v>7</v>
      </c>
      <c r="Y23" s="246">
        <f t="shared" si="15"/>
        <v>13.882032990455627</v>
      </c>
      <c r="Z23"/>
      <c r="AA23"/>
      <c r="AB23"/>
      <c r="AC23"/>
      <c r="AF23"/>
      <c r="AH23" s="252">
        <f t="shared" si="20"/>
        <v>1</v>
      </c>
      <c r="AI23" s="252">
        <f t="shared" si="21"/>
        <v>4</v>
      </c>
      <c r="AJ23" s="252" t="str">
        <f t="shared" si="22"/>
        <v>Marker 4</v>
      </c>
      <c r="AK23" s="252">
        <f t="shared" si="23"/>
        <v>4</v>
      </c>
      <c r="AL23" s="252" t="str">
        <f t="shared" si="24"/>
        <v>L</v>
      </c>
      <c r="AM23" s="253"/>
      <c r="AN23" s="254">
        <f t="shared" si="25"/>
        <v>1.5911614894866943</v>
      </c>
      <c r="AO23" s="254">
        <f t="shared" si="26"/>
        <v>2.6158820390701294</v>
      </c>
      <c r="AP23" s="254">
        <f t="shared" si="27"/>
        <v>1.6192350387573242</v>
      </c>
      <c r="AQ23" s="254">
        <f t="shared" si="28"/>
        <v>1.7516320943832397</v>
      </c>
      <c r="AR23" s="254">
        <f t="shared" si="33"/>
        <v>1.8020727634429932</v>
      </c>
      <c r="AS23" s="254">
        <v>2.2895594510093735</v>
      </c>
      <c r="AT23" s="254">
        <f t="shared" si="34"/>
        <v>1.8191943168640137</v>
      </c>
      <c r="AU23" s="254">
        <f t="shared" si="35"/>
        <v>13.488737193013769</v>
      </c>
    </row>
    <row r="24" spans="1:47" x14ac:dyDescent="0.25">
      <c r="A24" s="206">
        <v>4</v>
      </c>
      <c r="B24" s="206" t="s">
        <v>101</v>
      </c>
      <c r="C24" s="206">
        <v>2</v>
      </c>
      <c r="D24" s="206" t="s">
        <v>152</v>
      </c>
      <c r="E24" s="206">
        <v>5</v>
      </c>
      <c r="F24" s="206" t="s">
        <v>88</v>
      </c>
      <c r="G24" s="241"/>
      <c r="H24" s="242">
        <v>2.4491175413131714</v>
      </c>
      <c r="I24" s="242">
        <v>2.3175265789031982</v>
      </c>
      <c r="J24" s="242">
        <v>1.8127633333206177</v>
      </c>
      <c r="K24" s="242">
        <v>2.9006614685058594</v>
      </c>
      <c r="L24" s="242">
        <v>2.2911418676376343</v>
      </c>
      <c r="M24" s="242">
        <v>2.0321762561798096</v>
      </c>
      <c r="N24" s="242">
        <v>1.4466463327407837</v>
      </c>
      <c r="O24" s="243">
        <f>IF(AND(H24&gt;=H$3, H24&lt;=H$4),1,0)</f>
        <v>1</v>
      </c>
      <c r="P24" s="243">
        <f t="shared" si="7"/>
        <v>1</v>
      </c>
      <c r="Q24" s="243">
        <f t="shared" si="8"/>
        <v>1</v>
      </c>
      <c r="R24" s="243">
        <f t="shared" si="9"/>
        <v>1</v>
      </c>
      <c r="S24" s="243">
        <f t="shared" si="10"/>
        <v>1</v>
      </c>
      <c r="T24" s="243">
        <f t="shared" si="11"/>
        <v>1</v>
      </c>
      <c r="U24" s="243">
        <f t="shared" si="12"/>
        <v>1</v>
      </c>
      <c r="V24" s="244">
        <f t="shared" si="13"/>
        <v>7</v>
      </c>
      <c r="W24" s="243">
        <v>1</v>
      </c>
      <c r="X24" s="245">
        <f t="shared" si="14"/>
        <v>7</v>
      </c>
      <c r="Y24" s="246">
        <f t="shared" si="15"/>
        <v>15.250033378601074</v>
      </c>
      <c r="Z24"/>
      <c r="AA24"/>
      <c r="AB24"/>
      <c r="AC24"/>
      <c r="AF24"/>
      <c r="AH24" s="252">
        <f t="shared" si="20"/>
        <v>5</v>
      </c>
      <c r="AI24" s="252">
        <f t="shared" si="21"/>
        <v>4</v>
      </c>
      <c r="AJ24" s="252" t="str">
        <f t="shared" si="22"/>
        <v>Marker 4</v>
      </c>
      <c r="AK24" s="252">
        <f t="shared" si="23"/>
        <v>2</v>
      </c>
      <c r="AL24" s="252" t="str">
        <f t="shared" si="24"/>
        <v>M</v>
      </c>
      <c r="AM24" s="253"/>
      <c r="AN24" s="254">
        <f t="shared" si="25"/>
        <v>2.4491175413131714</v>
      </c>
      <c r="AO24" s="254">
        <f t="shared" si="26"/>
        <v>2.3175265789031982</v>
      </c>
      <c r="AP24" s="254">
        <f t="shared" si="27"/>
        <v>1.8127633333206177</v>
      </c>
      <c r="AQ24" s="254">
        <f t="shared" si="28"/>
        <v>2.9006614685058594</v>
      </c>
      <c r="AR24" s="254">
        <f t="shared" si="33"/>
        <v>2.2911418676376343</v>
      </c>
      <c r="AS24" s="254">
        <v>1.4398518053688887</v>
      </c>
      <c r="AT24" s="254">
        <f t="shared" si="34"/>
        <v>1.4466463327407837</v>
      </c>
      <c r="AU24" s="254">
        <f t="shared" si="35"/>
        <v>14.657708927790154</v>
      </c>
    </row>
    <row r="25" spans="1:47" x14ac:dyDescent="0.25">
      <c r="A25" s="206">
        <v>4</v>
      </c>
      <c r="B25" s="206" t="s">
        <v>101</v>
      </c>
      <c r="C25" s="206">
        <v>1</v>
      </c>
      <c r="D25" s="206" t="s">
        <v>152</v>
      </c>
      <c r="E25" s="206">
        <v>6</v>
      </c>
      <c r="F25" s="206" t="s">
        <v>89</v>
      </c>
      <c r="G25" s="241"/>
      <c r="H25" s="242">
        <v>2.1655163764953613</v>
      </c>
      <c r="I25" s="242">
        <v>2.4970654249191284</v>
      </c>
      <c r="J25" s="242">
        <v>1.9129407405853271</v>
      </c>
      <c r="K25" s="242">
        <v>2.808747410774231</v>
      </c>
      <c r="L25" s="242">
        <v>1.5660295486450195</v>
      </c>
      <c r="M25" s="242">
        <v>2.3350766897201538</v>
      </c>
      <c r="N25" s="242">
        <v>2.780254602432251</v>
      </c>
      <c r="O25" s="243">
        <f>IF(AND(H25&gt;=H$3, H25&lt;=H$4),1,0)</f>
        <v>1</v>
      </c>
      <c r="P25" s="243">
        <f t="shared" si="7"/>
        <v>1</v>
      </c>
      <c r="Q25" s="243">
        <f t="shared" si="8"/>
        <v>1</v>
      </c>
      <c r="R25" s="243">
        <f t="shared" si="9"/>
        <v>1</v>
      </c>
      <c r="S25" s="243">
        <f t="shared" si="10"/>
        <v>1</v>
      </c>
      <c r="T25" s="243">
        <f t="shared" si="11"/>
        <v>1</v>
      </c>
      <c r="U25" s="243">
        <f t="shared" si="12"/>
        <v>1</v>
      </c>
      <c r="V25" s="244">
        <f t="shared" si="13"/>
        <v>7</v>
      </c>
      <c r="W25" s="243">
        <v>1</v>
      </c>
      <c r="X25" s="245">
        <f t="shared" si="14"/>
        <v>7</v>
      </c>
      <c r="Y25" s="246">
        <f t="shared" si="15"/>
        <v>16.065630793571472</v>
      </c>
      <c r="Z25"/>
      <c r="AA25"/>
      <c r="AB25"/>
      <c r="AC25"/>
      <c r="AF25"/>
      <c r="AH25" s="252">
        <f t="shared" si="20"/>
        <v>6</v>
      </c>
      <c r="AI25" s="252">
        <f t="shared" si="21"/>
        <v>4</v>
      </c>
      <c r="AJ25" s="252" t="str">
        <f t="shared" si="22"/>
        <v>Marker 4</v>
      </c>
      <c r="AK25" s="252">
        <f t="shared" si="23"/>
        <v>1</v>
      </c>
      <c r="AL25" s="252" t="str">
        <f t="shared" si="24"/>
        <v>M</v>
      </c>
      <c r="AM25" s="253"/>
      <c r="AN25" s="254">
        <f t="shared" si="25"/>
        <v>2.1655163764953613</v>
      </c>
      <c r="AO25" s="254">
        <f t="shared" si="26"/>
        <v>2.4970654249191284</v>
      </c>
      <c r="AP25" s="254">
        <f t="shared" si="27"/>
        <v>1.9129407405853271</v>
      </c>
      <c r="AQ25" s="254">
        <f t="shared" si="28"/>
        <v>2.808747410774231</v>
      </c>
      <c r="AR25" s="254">
        <f t="shared" si="33"/>
        <v>1.5660295486450195</v>
      </c>
      <c r="AS25" s="254">
        <v>2.1184441990475449</v>
      </c>
      <c r="AT25" s="254">
        <f t="shared" si="34"/>
        <v>2.780254602432251</v>
      </c>
      <c r="AU25" s="254">
        <f t="shared" si="35"/>
        <v>15.848998302898863</v>
      </c>
    </row>
    <row r="26" spans="1:47" x14ac:dyDescent="0.25">
      <c r="A26" s="206">
        <v>4</v>
      </c>
      <c r="B26" s="206" t="s">
        <v>101</v>
      </c>
      <c r="C26" s="206">
        <v>1</v>
      </c>
      <c r="D26" s="206" t="s">
        <v>153</v>
      </c>
      <c r="E26" s="206">
        <v>8</v>
      </c>
      <c r="F26" s="206" t="s">
        <v>91</v>
      </c>
      <c r="G26" s="241"/>
      <c r="H26" s="242">
        <v>1.5627628564834595</v>
      </c>
      <c r="I26" s="242">
        <v>1.736112117767334</v>
      </c>
      <c r="J26" s="242">
        <v>1.0284422636032104</v>
      </c>
      <c r="K26" s="242">
        <v>1.5893180370330811</v>
      </c>
      <c r="L26" s="242">
        <v>2.9680920839309692</v>
      </c>
      <c r="M26" s="242">
        <v>2.5225658416748047</v>
      </c>
      <c r="N26" s="242">
        <v>2.1617568731307983</v>
      </c>
      <c r="O26" s="243">
        <f>IF(AND(H26&gt;=H$3, H26&lt;=H$4),1,0)</f>
        <v>1</v>
      </c>
      <c r="P26" s="243">
        <f t="shared" si="7"/>
        <v>1</v>
      </c>
      <c r="Q26" s="243">
        <f t="shared" si="8"/>
        <v>1</v>
      </c>
      <c r="R26" s="243">
        <f t="shared" si="9"/>
        <v>1</v>
      </c>
      <c r="S26" s="243">
        <f t="shared" si="10"/>
        <v>1</v>
      </c>
      <c r="T26" s="243">
        <f t="shared" si="11"/>
        <v>1</v>
      </c>
      <c r="U26" s="243">
        <f t="shared" si="12"/>
        <v>1</v>
      </c>
      <c r="V26" s="244">
        <f t="shared" si="13"/>
        <v>7</v>
      </c>
      <c r="W26" s="243">
        <v>1</v>
      </c>
      <c r="X26" s="245">
        <f t="shared" si="14"/>
        <v>7</v>
      </c>
      <c r="Y26" s="246">
        <f t="shared" si="15"/>
        <v>13.569050073623657</v>
      </c>
      <c r="Z26"/>
      <c r="AA26"/>
      <c r="AB26"/>
      <c r="AC26"/>
      <c r="AF26"/>
      <c r="AH26" s="252">
        <f t="shared" si="20"/>
        <v>8</v>
      </c>
      <c r="AI26" s="252">
        <f t="shared" si="21"/>
        <v>4</v>
      </c>
      <c r="AJ26" s="252" t="str">
        <f t="shared" si="22"/>
        <v>Marker 4</v>
      </c>
      <c r="AK26" s="252">
        <f t="shared" si="23"/>
        <v>1</v>
      </c>
      <c r="AL26" s="252" t="str">
        <f t="shared" si="24"/>
        <v>H</v>
      </c>
      <c r="AM26" s="253"/>
      <c r="AN26" s="254">
        <f t="shared" si="25"/>
        <v>1.5627628564834595</v>
      </c>
      <c r="AO26" s="254">
        <f t="shared" si="26"/>
        <v>1.736112117767334</v>
      </c>
      <c r="AP26" s="254">
        <f t="shared" si="27"/>
        <v>1.0284422636032104</v>
      </c>
      <c r="AQ26" s="254">
        <f t="shared" si="28"/>
        <v>1.5893180370330811</v>
      </c>
      <c r="AR26" s="254">
        <f t="shared" si="33"/>
        <v>2.9680920839309692</v>
      </c>
      <c r="AS26" s="254">
        <v>2.8195152268894392</v>
      </c>
      <c r="AT26" s="254">
        <f t="shared" si="34"/>
        <v>2.1617568731307983</v>
      </c>
      <c r="AU26" s="254">
        <f t="shared" si="35"/>
        <v>13.865999458838292</v>
      </c>
    </row>
    <row r="27" spans="1:47" x14ac:dyDescent="0.25">
      <c r="A27" s="206">
        <v>4</v>
      </c>
      <c r="B27" s="206" t="s">
        <v>101</v>
      </c>
      <c r="C27" s="206">
        <v>2</v>
      </c>
      <c r="D27" s="206" t="s">
        <v>152</v>
      </c>
      <c r="E27" s="206">
        <v>9</v>
      </c>
      <c r="F27" s="206" t="s">
        <v>92</v>
      </c>
      <c r="G27" s="241"/>
      <c r="H27" s="242">
        <v>2.2113468647003174</v>
      </c>
      <c r="I27" s="242">
        <v>1.5360876321792603</v>
      </c>
      <c r="J27" s="242">
        <v>2.0163331031799316</v>
      </c>
      <c r="K27" s="242">
        <v>2.5871933698654175</v>
      </c>
      <c r="L27" s="242">
        <v>2.71482253074646</v>
      </c>
      <c r="M27" s="242">
        <v>1.1863051652908325</v>
      </c>
      <c r="N27" s="242">
        <v>2.0837469100952148</v>
      </c>
      <c r="O27" s="243">
        <f>IF(AND(H27&gt;=H$3, H27&lt;=H$4),1,0)</f>
        <v>1</v>
      </c>
      <c r="P27" s="243">
        <f t="shared" si="7"/>
        <v>1</v>
      </c>
      <c r="Q27" s="243">
        <f t="shared" si="8"/>
        <v>1</v>
      </c>
      <c r="R27" s="243">
        <f t="shared" si="9"/>
        <v>1</v>
      </c>
      <c r="S27" s="243">
        <f t="shared" si="10"/>
        <v>1</v>
      </c>
      <c r="T27" s="243">
        <f t="shared" si="11"/>
        <v>1</v>
      </c>
      <c r="U27" s="243">
        <f t="shared" si="12"/>
        <v>1</v>
      </c>
      <c r="V27" s="244">
        <f t="shared" si="13"/>
        <v>7</v>
      </c>
      <c r="W27" s="243">
        <v>1</v>
      </c>
      <c r="X27" s="245">
        <f t="shared" si="14"/>
        <v>7</v>
      </c>
      <c r="Y27" s="246">
        <f t="shared" si="15"/>
        <v>14.335835576057434</v>
      </c>
      <c r="Z27"/>
      <c r="AA27"/>
      <c r="AB27"/>
      <c r="AC27"/>
      <c r="AF27"/>
      <c r="AH27" s="252">
        <f t="shared" si="20"/>
        <v>9</v>
      </c>
      <c r="AI27" s="252">
        <f t="shared" si="21"/>
        <v>4</v>
      </c>
      <c r="AJ27" s="252" t="str">
        <f t="shared" si="22"/>
        <v>Marker 4</v>
      </c>
      <c r="AK27" s="252">
        <f t="shared" si="23"/>
        <v>2</v>
      </c>
      <c r="AL27" s="252" t="str">
        <f t="shared" si="24"/>
        <v>M</v>
      </c>
      <c r="AM27" s="253"/>
      <c r="AN27" s="254">
        <f t="shared" si="25"/>
        <v>2.2113468647003174</v>
      </c>
      <c r="AO27" s="254">
        <f t="shared" si="26"/>
        <v>1.5360876321792603</v>
      </c>
      <c r="AP27" s="254">
        <f t="shared" si="27"/>
        <v>2.0163331031799316</v>
      </c>
      <c r="AQ27" s="254">
        <f t="shared" si="28"/>
        <v>2.5871933698654175</v>
      </c>
      <c r="AR27" s="254">
        <f t="shared" si="33"/>
        <v>2.71482253074646</v>
      </c>
      <c r="AS27" s="254">
        <v>1.8868755097268262</v>
      </c>
      <c r="AT27" s="254">
        <f t="shared" si="34"/>
        <v>2.0837469100952148</v>
      </c>
      <c r="AU27" s="254">
        <f t="shared" si="35"/>
        <v>15.036405920493428</v>
      </c>
    </row>
    <row r="28" spans="1:47" x14ac:dyDescent="0.25">
      <c r="A28" s="206">
        <v>4</v>
      </c>
      <c r="B28" s="206" t="s">
        <v>101</v>
      </c>
      <c r="C28" s="206">
        <v>4</v>
      </c>
      <c r="D28" s="206" t="s">
        <v>151</v>
      </c>
      <c r="E28" s="206">
        <v>10</v>
      </c>
      <c r="F28" s="206" t="s">
        <v>93</v>
      </c>
      <c r="G28" s="241"/>
      <c r="H28" s="242">
        <v>1.8307527303695679</v>
      </c>
      <c r="I28" s="242">
        <v>1.1467421054840088</v>
      </c>
      <c r="J28" s="242">
        <v>1.902753472328186</v>
      </c>
      <c r="K28" s="242">
        <v>2.3977808952331543</v>
      </c>
      <c r="L28" s="242">
        <v>1.9985140562057495</v>
      </c>
      <c r="M28" s="242">
        <v>1.8138682842254639</v>
      </c>
      <c r="N28" s="242">
        <v>2.8901444673538208</v>
      </c>
      <c r="O28" s="243">
        <f>IF(AND(H28&gt;=H$3, H28&lt;=H$4),1,0)</f>
        <v>1</v>
      </c>
      <c r="P28" s="243">
        <f t="shared" si="7"/>
        <v>1</v>
      </c>
      <c r="Q28" s="243">
        <f t="shared" si="8"/>
        <v>1</v>
      </c>
      <c r="R28" s="243">
        <f t="shared" si="9"/>
        <v>1</v>
      </c>
      <c r="S28" s="243">
        <f t="shared" si="10"/>
        <v>1</v>
      </c>
      <c r="T28" s="243">
        <f t="shared" si="11"/>
        <v>1</v>
      </c>
      <c r="U28" s="243">
        <f t="shared" si="12"/>
        <v>1</v>
      </c>
      <c r="V28" s="244">
        <f t="shared" si="13"/>
        <v>7</v>
      </c>
      <c r="W28" s="243">
        <v>1</v>
      </c>
      <c r="X28" s="245">
        <f t="shared" si="14"/>
        <v>7</v>
      </c>
      <c r="Y28" s="246">
        <f t="shared" si="15"/>
        <v>13.980556011199951</v>
      </c>
      <c r="Z28"/>
      <c r="AA28"/>
      <c r="AB28"/>
      <c r="AC28"/>
      <c r="AF28"/>
      <c r="AH28" s="252">
        <f t="shared" si="20"/>
        <v>10</v>
      </c>
      <c r="AI28" s="252">
        <f t="shared" si="21"/>
        <v>4</v>
      </c>
      <c r="AJ28" s="252" t="str">
        <f t="shared" si="22"/>
        <v>Marker 4</v>
      </c>
      <c r="AK28" s="252">
        <f t="shared" si="23"/>
        <v>4</v>
      </c>
      <c r="AL28" s="252" t="str">
        <f t="shared" si="24"/>
        <v>L</v>
      </c>
      <c r="AM28" s="253"/>
      <c r="AN28" s="254">
        <f t="shared" si="25"/>
        <v>1.8307527303695679</v>
      </c>
      <c r="AO28" s="254">
        <f t="shared" si="26"/>
        <v>1.1467421054840088</v>
      </c>
      <c r="AP28" s="254">
        <f t="shared" si="27"/>
        <v>1.902753472328186</v>
      </c>
      <c r="AQ28" s="254">
        <f t="shared" si="28"/>
        <v>2.3977808952331543</v>
      </c>
      <c r="AR28" s="254">
        <f t="shared" si="33"/>
        <v>1.9985140562057495</v>
      </c>
      <c r="AS28" s="254">
        <v>3.2696170642350944</v>
      </c>
      <c r="AT28" s="254">
        <f t="shared" si="34"/>
        <v>2.8901444673538208</v>
      </c>
      <c r="AU28" s="254">
        <f t="shared" si="35"/>
        <v>15.436304791209581</v>
      </c>
    </row>
    <row r="29" spans="1:47" x14ac:dyDescent="0.25">
      <c r="A29" s="206">
        <v>5</v>
      </c>
      <c r="B29" s="206" t="s">
        <v>102</v>
      </c>
      <c r="C29" s="206">
        <v>3</v>
      </c>
      <c r="D29" s="206" t="s">
        <v>151</v>
      </c>
      <c r="E29" s="206">
        <v>1</v>
      </c>
      <c r="F29" s="206" t="s">
        <v>84</v>
      </c>
      <c r="G29" s="241"/>
      <c r="H29" s="242">
        <v>2.96929931640625</v>
      </c>
      <c r="I29" s="242">
        <v>2.1828845739364624</v>
      </c>
      <c r="J29" s="242">
        <v>2.0639793872833252</v>
      </c>
      <c r="K29" s="242">
        <v>2.2301431894302368</v>
      </c>
      <c r="L29" s="242">
        <v>1.178307056427002</v>
      </c>
      <c r="M29" s="242">
        <v>1.3688496351242065</v>
      </c>
      <c r="N29" s="242">
        <v>1.5671193599700928</v>
      </c>
      <c r="O29" s="243">
        <f>IF(AND(H29&gt;=H$3, H29&lt;=H$4),1,0)</f>
        <v>1</v>
      </c>
      <c r="P29" s="243">
        <f t="shared" si="7"/>
        <v>1</v>
      </c>
      <c r="Q29" s="243">
        <f t="shared" si="8"/>
        <v>1</v>
      </c>
      <c r="R29" s="243">
        <f t="shared" si="9"/>
        <v>1</v>
      </c>
      <c r="S29" s="243">
        <f t="shared" si="10"/>
        <v>1</v>
      </c>
      <c r="T29" s="243">
        <f t="shared" si="11"/>
        <v>1</v>
      </c>
      <c r="U29" s="243">
        <f t="shared" si="12"/>
        <v>1</v>
      </c>
      <c r="V29" s="244">
        <f t="shared" si="13"/>
        <v>7</v>
      </c>
      <c r="W29" s="243">
        <v>1</v>
      </c>
      <c r="X29" s="245">
        <f t="shared" si="14"/>
        <v>7</v>
      </c>
      <c r="Y29" s="246">
        <f t="shared" si="15"/>
        <v>13.560582518577576</v>
      </c>
      <c r="Z29"/>
      <c r="AA29"/>
      <c r="AB29"/>
      <c r="AC29"/>
      <c r="AF29"/>
      <c r="AH29" s="252">
        <f t="shared" si="20"/>
        <v>1</v>
      </c>
      <c r="AI29" s="252">
        <f t="shared" si="21"/>
        <v>5</v>
      </c>
      <c r="AJ29" s="252" t="str">
        <f t="shared" si="22"/>
        <v>Marker 5</v>
      </c>
      <c r="AK29" s="252">
        <f t="shared" si="23"/>
        <v>3</v>
      </c>
      <c r="AL29" s="252" t="str">
        <f t="shared" si="24"/>
        <v>L</v>
      </c>
      <c r="AM29" s="253"/>
      <c r="AN29" s="254">
        <f t="shared" si="25"/>
        <v>2.96929931640625</v>
      </c>
      <c r="AO29" s="254">
        <f t="shared" si="26"/>
        <v>2.1828845739364624</v>
      </c>
      <c r="AP29" s="254">
        <f t="shared" si="27"/>
        <v>2.0639793872833252</v>
      </c>
      <c r="AQ29" s="254">
        <f t="shared" si="28"/>
        <v>2.2301431894302368</v>
      </c>
      <c r="AR29" s="254">
        <f t="shared" si="33"/>
        <v>1.178307056427002</v>
      </c>
      <c r="AS29" s="254">
        <v>3.3590415555441706</v>
      </c>
      <c r="AT29" s="254">
        <f t="shared" si="34"/>
        <v>1.5671193599700928</v>
      </c>
      <c r="AU29" s="254">
        <f t="shared" si="35"/>
        <v>15.550774438997539</v>
      </c>
    </row>
    <row r="30" spans="1:47" x14ac:dyDescent="0.25">
      <c r="A30" s="206">
        <v>5</v>
      </c>
      <c r="B30" s="206" t="s">
        <v>102</v>
      </c>
      <c r="C30" s="206">
        <v>1</v>
      </c>
      <c r="D30" s="206" t="s">
        <v>153</v>
      </c>
      <c r="E30" s="206">
        <v>2</v>
      </c>
      <c r="F30" s="206" t="s">
        <v>85</v>
      </c>
      <c r="G30" s="241"/>
      <c r="H30" s="242">
        <v>1.0376178026199341</v>
      </c>
      <c r="I30" s="242">
        <v>1.3051996231079102</v>
      </c>
      <c r="J30" s="242">
        <v>1.8402227163314819</v>
      </c>
      <c r="K30" s="242">
        <v>2.0968477725982666</v>
      </c>
      <c r="L30" s="242">
        <v>2.1168895959854126</v>
      </c>
      <c r="M30" s="242">
        <v>2.5620131492614746</v>
      </c>
      <c r="N30" s="242">
        <v>1.0858954191207886</v>
      </c>
      <c r="O30" s="243">
        <f>IF(AND(H30&gt;=H$3, H30&lt;=H$4),1,0)</f>
        <v>1</v>
      </c>
      <c r="P30" s="243">
        <f t="shared" si="7"/>
        <v>1</v>
      </c>
      <c r="Q30" s="243">
        <f t="shared" si="8"/>
        <v>1</v>
      </c>
      <c r="R30" s="243">
        <f t="shared" si="9"/>
        <v>1</v>
      </c>
      <c r="S30" s="243">
        <f t="shared" si="10"/>
        <v>1</v>
      </c>
      <c r="T30" s="243">
        <f t="shared" si="11"/>
        <v>1</v>
      </c>
      <c r="U30" s="243">
        <f t="shared" si="12"/>
        <v>1</v>
      </c>
      <c r="V30" s="244">
        <f t="shared" si="13"/>
        <v>7</v>
      </c>
      <c r="W30" s="243">
        <v>1</v>
      </c>
      <c r="X30" s="245">
        <f t="shared" si="14"/>
        <v>7</v>
      </c>
      <c r="Y30" s="246">
        <f t="shared" si="15"/>
        <v>12.044686079025269</v>
      </c>
      <c r="Z30"/>
      <c r="AA30"/>
      <c r="AB30"/>
      <c r="AC30"/>
      <c r="AF30"/>
      <c r="AH30" s="252">
        <f t="shared" si="20"/>
        <v>2</v>
      </c>
      <c r="AI30" s="252">
        <f t="shared" si="21"/>
        <v>5</v>
      </c>
      <c r="AJ30" s="252" t="str">
        <f t="shared" si="22"/>
        <v>Marker 5</v>
      </c>
      <c r="AK30" s="252">
        <f t="shared" si="23"/>
        <v>1</v>
      </c>
      <c r="AL30" s="252" t="str">
        <f t="shared" si="24"/>
        <v>H</v>
      </c>
      <c r="AM30" s="253"/>
      <c r="AN30" s="254">
        <f t="shared" si="25"/>
        <v>1.0376178026199341</v>
      </c>
      <c r="AO30" s="254">
        <f t="shared" si="26"/>
        <v>1.3051996231079102</v>
      </c>
      <c r="AP30" s="254">
        <f t="shared" si="27"/>
        <v>1.8402227163314819</v>
      </c>
      <c r="AQ30" s="254">
        <f t="shared" si="28"/>
        <v>2.0968477725982666</v>
      </c>
      <c r="AR30" s="254">
        <f t="shared" si="33"/>
        <v>2.1168895959854126</v>
      </c>
      <c r="AS30" s="254">
        <v>1.7674016904576355</v>
      </c>
      <c r="AT30" s="254">
        <f t="shared" si="34"/>
        <v>1.0858954191207886</v>
      </c>
      <c r="AU30" s="254">
        <f t="shared" si="35"/>
        <v>11.250074620221429</v>
      </c>
    </row>
    <row r="31" spans="1:47" x14ac:dyDescent="0.25">
      <c r="A31" s="206">
        <v>5</v>
      </c>
      <c r="B31" s="206" t="s">
        <v>102</v>
      </c>
      <c r="C31" s="206">
        <v>4</v>
      </c>
      <c r="D31" s="206" t="s">
        <v>151</v>
      </c>
      <c r="E31" s="206">
        <v>3</v>
      </c>
      <c r="F31" s="206" t="s">
        <v>86</v>
      </c>
      <c r="G31" s="241"/>
      <c r="H31" s="242">
        <v>1.8114898204803467</v>
      </c>
      <c r="I31" s="242">
        <v>1.1179829835891724</v>
      </c>
      <c r="J31" s="242">
        <v>1.6236743927001953</v>
      </c>
      <c r="K31" s="242">
        <v>2.2060874700546265</v>
      </c>
      <c r="L31" s="242">
        <v>2.035386323928833</v>
      </c>
      <c r="M31" s="242">
        <v>2.1928755044937134</v>
      </c>
      <c r="N31" s="242">
        <v>1.6592507362365723</v>
      </c>
      <c r="O31" s="243">
        <f>IF(AND(H31&gt;=H$3, H31&lt;=H$4),1,0)</f>
        <v>1</v>
      </c>
      <c r="P31" s="243">
        <f t="shared" si="7"/>
        <v>1</v>
      </c>
      <c r="Q31" s="243">
        <f t="shared" si="8"/>
        <v>1</v>
      </c>
      <c r="R31" s="243">
        <f t="shared" si="9"/>
        <v>1</v>
      </c>
      <c r="S31" s="243">
        <f t="shared" si="10"/>
        <v>1</v>
      </c>
      <c r="T31" s="243">
        <f t="shared" si="11"/>
        <v>1</v>
      </c>
      <c r="U31" s="243">
        <f t="shared" si="12"/>
        <v>1</v>
      </c>
      <c r="V31" s="244">
        <f t="shared" si="13"/>
        <v>7</v>
      </c>
      <c r="W31" s="243">
        <v>1</v>
      </c>
      <c r="X31" s="245">
        <f t="shared" si="14"/>
        <v>7</v>
      </c>
      <c r="Y31" s="246">
        <f t="shared" si="15"/>
        <v>12.646747231483459</v>
      </c>
      <c r="Z31"/>
      <c r="AA31"/>
      <c r="AB31"/>
      <c r="AC31"/>
      <c r="AF31"/>
      <c r="AH31" s="252">
        <f t="shared" si="20"/>
        <v>3</v>
      </c>
      <c r="AI31" s="252">
        <f t="shared" si="21"/>
        <v>5</v>
      </c>
      <c r="AJ31" s="252" t="str">
        <f t="shared" si="22"/>
        <v>Marker 5</v>
      </c>
      <c r="AK31" s="252">
        <f t="shared" si="23"/>
        <v>4</v>
      </c>
      <c r="AL31" s="252" t="str">
        <f t="shared" si="24"/>
        <v>L</v>
      </c>
      <c r="AM31" s="253"/>
      <c r="AN31" s="254">
        <f t="shared" si="25"/>
        <v>1.8114898204803467</v>
      </c>
      <c r="AO31" s="254">
        <f t="shared" si="26"/>
        <v>1.1179829835891724</v>
      </c>
      <c r="AP31" s="254">
        <f t="shared" si="27"/>
        <v>1.6236743927001953</v>
      </c>
      <c r="AQ31" s="254">
        <f t="shared" si="28"/>
        <v>2.2060874700546265</v>
      </c>
      <c r="AR31" s="254">
        <f t="shared" si="33"/>
        <v>2.035386323928833</v>
      </c>
      <c r="AS31" s="254">
        <v>1.4147599286123143</v>
      </c>
      <c r="AT31" s="254">
        <f t="shared" si="34"/>
        <v>1.6592507362365723</v>
      </c>
      <c r="AU31" s="254">
        <f t="shared" si="35"/>
        <v>11.86863165560206</v>
      </c>
    </row>
    <row r="32" spans="1:47" x14ac:dyDescent="0.25">
      <c r="A32" s="206">
        <v>5</v>
      </c>
      <c r="B32" s="206" t="s">
        <v>102</v>
      </c>
      <c r="C32" s="206">
        <v>3</v>
      </c>
      <c r="D32" s="206" t="s">
        <v>151</v>
      </c>
      <c r="E32" s="206">
        <v>4</v>
      </c>
      <c r="F32" s="206" t="s">
        <v>87</v>
      </c>
      <c r="G32" s="241"/>
      <c r="H32" s="242">
        <v>2.8185967206954956</v>
      </c>
      <c r="I32" s="242">
        <v>2.5401437282562256</v>
      </c>
      <c r="J32" s="242">
        <v>2.1517478227615356</v>
      </c>
      <c r="K32" s="242">
        <v>1.8632001876831055</v>
      </c>
      <c r="L32" s="242">
        <v>2.465049147605896</v>
      </c>
      <c r="M32" s="242">
        <v>1.3258841037750244</v>
      </c>
      <c r="N32" s="242">
        <v>1.1192337274551392</v>
      </c>
      <c r="O32" s="243">
        <f>IF(AND(H32&gt;=H$3, H32&lt;=H$4),1,0)</f>
        <v>1</v>
      </c>
      <c r="P32" s="243">
        <f t="shared" si="7"/>
        <v>1</v>
      </c>
      <c r="Q32" s="243">
        <f t="shared" si="8"/>
        <v>1</v>
      </c>
      <c r="R32" s="243">
        <f t="shared" si="9"/>
        <v>1</v>
      </c>
      <c r="S32" s="243">
        <f t="shared" si="10"/>
        <v>1</v>
      </c>
      <c r="T32" s="243">
        <f t="shared" si="11"/>
        <v>1</v>
      </c>
      <c r="U32" s="243">
        <f t="shared" si="12"/>
        <v>1</v>
      </c>
      <c r="V32" s="244">
        <f t="shared" si="13"/>
        <v>7</v>
      </c>
      <c r="W32" s="243">
        <v>1</v>
      </c>
      <c r="X32" s="245">
        <f t="shared" si="14"/>
        <v>7</v>
      </c>
      <c r="Y32" s="246">
        <f t="shared" si="15"/>
        <v>14.283855438232422</v>
      </c>
      <c r="Z32"/>
      <c r="AA32"/>
      <c r="AB32"/>
      <c r="AC32"/>
      <c r="AF32"/>
      <c r="AH32" s="252">
        <f t="shared" si="20"/>
        <v>4</v>
      </c>
      <c r="AI32" s="252">
        <f t="shared" si="21"/>
        <v>5</v>
      </c>
      <c r="AJ32" s="252" t="str">
        <f t="shared" si="22"/>
        <v>Marker 5</v>
      </c>
      <c r="AK32" s="252">
        <f t="shared" si="23"/>
        <v>3</v>
      </c>
      <c r="AL32" s="252" t="str">
        <f t="shared" si="24"/>
        <v>L</v>
      </c>
      <c r="AM32" s="253"/>
      <c r="AN32" s="254">
        <f t="shared" si="25"/>
        <v>2.8185967206954956</v>
      </c>
      <c r="AO32" s="254">
        <f t="shared" si="26"/>
        <v>2.5401437282562256</v>
      </c>
      <c r="AP32" s="254">
        <f t="shared" si="27"/>
        <v>2.1517478227615356</v>
      </c>
      <c r="AQ32" s="254">
        <f t="shared" si="28"/>
        <v>1.8632001876831055</v>
      </c>
      <c r="AR32" s="254">
        <f t="shared" si="33"/>
        <v>2.465049147605896</v>
      </c>
      <c r="AS32" s="254">
        <v>1.2947815796421944</v>
      </c>
      <c r="AT32" s="254">
        <f t="shared" si="34"/>
        <v>1.1192337274551392</v>
      </c>
      <c r="AU32" s="254">
        <f t="shared" si="35"/>
        <v>14.252752914099592</v>
      </c>
    </row>
    <row r="33" spans="1:47" x14ac:dyDescent="0.25">
      <c r="A33" s="206">
        <v>5</v>
      </c>
      <c r="B33" s="206" t="s">
        <v>102</v>
      </c>
      <c r="C33" s="206">
        <v>1</v>
      </c>
      <c r="D33" s="206" t="s">
        <v>153</v>
      </c>
      <c r="E33" s="206">
        <v>7</v>
      </c>
      <c r="F33" s="206" t="s">
        <v>90</v>
      </c>
      <c r="G33" s="241"/>
      <c r="H33" s="242">
        <v>1.4866213798522949</v>
      </c>
      <c r="I33" s="242">
        <v>2.5171488523483276</v>
      </c>
      <c r="J33" s="242">
        <v>2.9024951457977295</v>
      </c>
      <c r="K33" s="242">
        <v>1.6906701326370239</v>
      </c>
      <c r="L33" s="242">
        <v>2.3685035705566406</v>
      </c>
      <c r="M33" s="242">
        <v>2.5829280614852905</v>
      </c>
      <c r="N33" s="242">
        <v>1.0708801746368408</v>
      </c>
      <c r="O33" s="243">
        <f>IF(AND(H33&gt;=H$3, H33&lt;=H$4),1,0)</f>
        <v>1</v>
      </c>
      <c r="P33" s="243">
        <f t="shared" si="7"/>
        <v>1</v>
      </c>
      <c r="Q33" s="243">
        <f t="shared" si="8"/>
        <v>1</v>
      </c>
      <c r="R33" s="243">
        <f t="shared" si="9"/>
        <v>1</v>
      </c>
      <c r="S33" s="243">
        <f t="shared" si="10"/>
        <v>1</v>
      </c>
      <c r="T33" s="243">
        <f t="shared" si="11"/>
        <v>1</v>
      </c>
      <c r="U33" s="243">
        <f t="shared" si="12"/>
        <v>1</v>
      </c>
      <c r="V33" s="244">
        <f t="shared" si="13"/>
        <v>7</v>
      </c>
      <c r="W33" s="243">
        <v>1</v>
      </c>
      <c r="X33" s="245">
        <f t="shared" si="14"/>
        <v>7</v>
      </c>
      <c r="Y33" s="246">
        <f t="shared" si="15"/>
        <v>14.619247317314148</v>
      </c>
      <c r="Z33"/>
      <c r="AA33"/>
      <c r="AB33"/>
      <c r="AC33"/>
      <c r="AF33"/>
      <c r="AH33" s="252">
        <f t="shared" si="20"/>
        <v>7</v>
      </c>
      <c r="AI33" s="252">
        <f t="shared" si="21"/>
        <v>5</v>
      </c>
      <c r="AJ33" s="252" t="str">
        <f t="shared" si="22"/>
        <v>Marker 5</v>
      </c>
      <c r="AK33" s="252">
        <f t="shared" si="23"/>
        <v>1</v>
      </c>
      <c r="AL33" s="252" t="str">
        <f t="shared" si="24"/>
        <v>H</v>
      </c>
      <c r="AM33" s="253"/>
      <c r="AN33" s="254">
        <f t="shared" si="25"/>
        <v>1.4866213798522949</v>
      </c>
      <c r="AO33" s="254">
        <f t="shared" si="26"/>
        <v>2.5171488523483276</v>
      </c>
      <c r="AP33" s="254">
        <f t="shared" si="27"/>
        <v>2.9024951457977295</v>
      </c>
      <c r="AQ33" s="254">
        <f t="shared" si="28"/>
        <v>1.6906701326370239</v>
      </c>
      <c r="AR33" s="254">
        <f t="shared" si="33"/>
        <v>2.3685035705566406</v>
      </c>
      <c r="AS33" s="254">
        <v>3.0726819014089357</v>
      </c>
      <c r="AT33" s="254">
        <f t="shared" si="34"/>
        <v>1.0708801746368408</v>
      </c>
      <c r="AU33" s="254">
        <f t="shared" si="35"/>
        <v>15.109001157237794</v>
      </c>
    </row>
    <row r="34" spans="1:47" x14ac:dyDescent="0.25">
      <c r="A34" s="206">
        <v>5</v>
      </c>
      <c r="B34" s="206" t="s">
        <v>102</v>
      </c>
      <c r="C34" s="206">
        <v>4</v>
      </c>
      <c r="D34" s="206" t="s">
        <v>151</v>
      </c>
      <c r="E34" s="206">
        <v>9</v>
      </c>
      <c r="F34" s="206" t="s">
        <v>92</v>
      </c>
      <c r="G34" s="241"/>
      <c r="H34" s="242">
        <v>2.5883470773696899</v>
      </c>
      <c r="I34" s="242">
        <v>1.9669766426086426</v>
      </c>
      <c r="J34" s="242">
        <v>1.4129971265792847</v>
      </c>
      <c r="K34" s="242">
        <v>2.2042081356048584</v>
      </c>
      <c r="L34" s="242">
        <v>2.8177577257156372</v>
      </c>
      <c r="M34" s="242">
        <v>2.8905611038208008</v>
      </c>
      <c r="N34" s="242">
        <v>2.3067945241928101</v>
      </c>
      <c r="O34" s="243">
        <f>IF(AND(H34&gt;=H$3, H34&lt;=H$4),1,0)</f>
        <v>1</v>
      </c>
      <c r="P34" s="243">
        <f t="shared" si="7"/>
        <v>1</v>
      </c>
      <c r="Q34" s="243">
        <f t="shared" si="8"/>
        <v>1</v>
      </c>
      <c r="R34" s="243">
        <f t="shared" si="9"/>
        <v>1</v>
      </c>
      <c r="S34" s="243">
        <f t="shared" si="10"/>
        <v>1</v>
      </c>
      <c r="T34" s="243">
        <f t="shared" si="11"/>
        <v>1</v>
      </c>
      <c r="U34" s="243">
        <f t="shared" si="12"/>
        <v>1</v>
      </c>
      <c r="V34" s="244">
        <f t="shared" si="13"/>
        <v>7</v>
      </c>
      <c r="W34" s="243">
        <v>1</v>
      </c>
      <c r="X34" s="245">
        <f t="shared" si="14"/>
        <v>7</v>
      </c>
      <c r="Y34" s="246">
        <f t="shared" si="15"/>
        <v>16.187642335891724</v>
      </c>
      <c r="Z34"/>
      <c r="AA34"/>
      <c r="AB34"/>
      <c r="AC34"/>
      <c r="AF34"/>
      <c r="AH34" s="252">
        <f t="shared" si="20"/>
        <v>9</v>
      </c>
      <c r="AI34" s="252">
        <f t="shared" si="21"/>
        <v>5</v>
      </c>
      <c r="AJ34" s="252" t="str">
        <f t="shared" si="22"/>
        <v>Marker 5</v>
      </c>
      <c r="AK34" s="252">
        <f t="shared" si="23"/>
        <v>4</v>
      </c>
      <c r="AL34" s="252" t="str">
        <f t="shared" si="24"/>
        <v>L</v>
      </c>
      <c r="AM34" s="253"/>
      <c r="AN34" s="254">
        <f t="shared" si="25"/>
        <v>2.5883470773696899</v>
      </c>
      <c r="AO34" s="254">
        <f t="shared" si="26"/>
        <v>1.9669766426086426</v>
      </c>
      <c r="AP34" s="254">
        <f t="shared" si="27"/>
        <v>1.4129971265792847</v>
      </c>
      <c r="AQ34" s="254">
        <f t="shared" si="28"/>
        <v>2.2042081356048584</v>
      </c>
      <c r="AR34" s="254">
        <f t="shared" si="33"/>
        <v>2.8177577257156372</v>
      </c>
      <c r="AS34" s="254">
        <v>3.4551292904284732</v>
      </c>
      <c r="AT34" s="254">
        <f t="shared" si="34"/>
        <v>2.3067945241928101</v>
      </c>
      <c r="AU34" s="254">
        <f t="shared" si="35"/>
        <v>16.752210522499396</v>
      </c>
    </row>
    <row r="35" spans="1:47" x14ac:dyDescent="0.25">
      <c r="A35" s="206">
        <v>6</v>
      </c>
      <c r="B35" s="206" t="s">
        <v>103</v>
      </c>
      <c r="C35" s="206">
        <v>2</v>
      </c>
      <c r="D35" s="206" t="s">
        <v>151</v>
      </c>
      <c r="E35" s="206">
        <v>2</v>
      </c>
      <c r="F35" s="206" t="s">
        <v>85</v>
      </c>
      <c r="G35" s="241"/>
      <c r="H35" s="242">
        <v>1.0291635990142822</v>
      </c>
      <c r="I35" s="242">
        <v>2.3238483667373657</v>
      </c>
      <c r="J35" s="242">
        <v>2.9294180870056152</v>
      </c>
      <c r="K35" s="242">
        <v>1.0188368558883667</v>
      </c>
      <c r="L35" s="242">
        <v>2.9071967601776123</v>
      </c>
      <c r="M35" s="242">
        <v>1.1472684144973755</v>
      </c>
      <c r="N35" s="242">
        <v>1.5865993499755859</v>
      </c>
      <c r="O35" s="243">
        <f>IF(AND(H35&gt;=H$3, H35&lt;=H$4),1,0)</f>
        <v>1</v>
      </c>
      <c r="P35" s="243">
        <f t="shared" si="7"/>
        <v>1</v>
      </c>
      <c r="Q35" s="243">
        <f t="shared" si="8"/>
        <v>1</v>
      </c>
      <c r="R35" s="243">
        <f t="shared" si="9"/>
        <v>1</v>
      </c>
      <c r="S35" s="243">
        <f t="shared" si="10"/>
        <v>1</v>
      </c>
      <c r="T35" s="243">
        <f t="shared" si="11"/>
        <v>1</v>
      </c>
      <c r="U35" s="243">
        <f t="shared" si="12"/>
        <v>1</v>
      </c>
      <c r="V35" s="244">
        <f t="shared" si="13"/>
        <v>7</v>
      </c>
      <c r="W35" s="243">
        <v>1</v>
      </c>
      <c r="X35" s="245">
        <f t="shared" si="14"/>
        <v>7</v>
      </c>
      <c r="Y35" s="246">
        <f t="shared" si="15"/>
        <v>12.942331433296204</v>
      </c>
      <c r="Z35"/>
      <c r="AA35"/>
      <c r="AB35"/>
      <c r="AC35"/>
      <c r="AF35"/>
      <c r="AH35" s="252">
        <f t="shared" si="20"/>
        <v>2</v>
      </c>
      <c r="AI35" s="252">
        <f t="shared" si="21"/>
        <v>6</v>
      </c>
      <c r="AJ35" s="252" t="str">
        <f t="shared" si="22"/>
        <v>Marker 6</v>
      </c>
      <c r="AK35" s="252">
        <f t="shared" si="23"/>
        <v>2</v>
      </c>
      <c r="AL35" s="252" t="str">
        <f t="shared" si="24"/>
        <v>L</v>
      </c>
      <c r="AM35" s="253"/>
      <c r="AN35" s="254">
        <f t="shared" si="25"/>
        <v>1.0291635990142822</v>
      </c>
      <c r="AO35" s="254">
        <f t="shared" si="26"/>
        <v>2.3238483667373657</v>
      </c>
      <c r="AP35" s="254">
        <f t="shared" si="27"/>
        <v>2.9294180870056152</v>
      </c>
      <c r="AQ35" s="254">
        <f t="shared" si="28"/>
        <v>1.0188368558883667</v>
      </c>
      <c r="AR35" s="254">
        <f t="shared" si="33"/>
        <v>2.9071967601776123</v>
      </c>
      <c r="AS35" s="254">
        <v>2.362841025415066</v>
      </c>
      <c r="AT35" s="254">
        <f t="shared" si="34"/>
        <v>1.5865993499755859</v>
      </c>
      <c r="AU35" s="254">
        <f t="shared" si="35"/>
        <v>14.157904044213893</v>
      </c>
    </row>
    <row r="36" spans="1:47" x14ac:dyDescent="0.25">
      <c r="A36" s="206">
        <v>6</v>
      </c>
      <c r="B36" s="206" t="s">
        <v>103</v>
      </c>
      <c r="C36" s="206">
        <v>4</v>
      </c>
      <c r="D36" s="206" t="s">
        <v>151</v>
      </c>
      <c r="E36" s="206">
        <v>4</v>
      </c>
      <c r="F36" s="206" t="s">
        <v>87</v>
      </c>
      <c r="G36" s="241"/>
      <c r="H36" s="242">
        <v>2.1649688482284546</v>
      </c>
      <c r="I36" s="242">
        <v>2.6157734394073486</v>
      </c>
      <c r="J36" s="242">
        <v>1.0806204080581665</v>
      </c>
      <c r="K36" s="242">
        <v>1.1092972755432129</v>
      </c>
      <c r="L36" s="242">
        <v>2.1286133527755737</v>
      </c>
      <c r="M36" s="242">
        <v>1.6296250820159912</v>
      </c>
      <c r="N36" s="242">
        <v>1.8247100114822388</v>
      </c>
      <c r="O36" s="243">
        <f>IF(AND(H36&gt;=H$3, H36&lt;=H$4),1,0)</f>
        <v>1</v>
      </c>
      <c r="P36" s="243">
        <f t="shared" si="7"/>
        <v>1</v>
      </c>
      <c r="Q36" s="243">
        <f t="shared" si="8"/>
        <v>1</v>
      </c>
      <c r="R36" s="243">
        <f t="shared" si="9"/>
        <v>1</v>
      </c>
      <c r="S36" s="243">
        <f t="shared" si="10"/>
        <v>1</v>
      </c>
      <c r="T36" s="243">
        <f t="shared" si="11"/>
        <v>1</v>
      </c>
      <c r="U36" s="243">
        <f t="shared" si="12"/>
        <v>1</v>
      </c>
      <c r="V36" s="244">
        <f t="shared" si="13"/>
        <v>7</v>
      </c>
      <c r="W36" s="243">
        <v>1</v>
      </c>
      <c r="X36" s="245">
        <f t="shared" si="14"/>
        <v>7</v>
      </c>
      <c r="Y36" s="246">
        <f t="shared" si="15"/>
        <v>12.553608417510986</v>
      </c>
      <c r="Z36"/>
      <c r="AA36"/>
      <c r="AB36"/>
      <c r="AC36"/>
      <c r="AF36"/>
      <c r="AH36" s="252">
        <f t="shared" si="20"/>
        <v>4</v>
      </c>
      <c r="AI36" s="252">
        <f t="shared" si="21"/>
        <v>6</v>
      </c>
      <c r="AJ36" s="252" t="str">
        <f t="shared" si="22"/>
        <v>Marker 6</v>
      </c>
      <c r="AK36" s="252">
        <f t="shared" si="23"/>
        <v>4</v>
      </c>
      <c r="AL36" s="252" t="str">
        <f t="shared" si="24"/>
        <v>L</v>
      </c>
      <c r="AM36" s="253"/>
      <c r="AN36" s="254">
        <f t="shared" si="25"/>
        <v>2.1649688482284546</v>
      </c>
      <c r="AO36" s="254">
        <f t="shared" si="26"/>
        <v>2.6157734394073486</v>
      </c>
      <c r="AP36" s="254">
        <f t="shared" si="27"/>
        <v>1.0806204080581665</v>
      </c>
      <c r="AQ36" s="254">
        <f t="shared" si="28"/>
        <v>1.1092972755432129</v>
      </c>
      <c r="AR36" s="254">
        <f t="shared" si="33"/>
        <v>2.1286133527755737</v>
      </c>
      <c r="AS36" s="254">
        <v>2.0150262603250129</v>
      </c>
      <c r="AT36" s="254">
        <f t="shared" si="34"/>
        <v>1.8247100114822388</v>
      </c>
      <c r="AU36" s="254">
        <f t="shared" si="35"/>
        <v>12.939009595820007</v>
      </c>
    </row>
    <row r="37" spans="1:47" x14ac:dyDescent="0.25">
      <c r="A37" s="206">
        <v>6</v>
      </c>
      <c r="B37" s="206" t="s">
        <v>103</v>
      </c>
      <c r="C37" s="206">
        <v>2</v>
      </c>
      <c r="D37" s="206" t="s">
        <v>151</v>
      </c>
      <c r="E37" s="206">
        <v>7</v>
      </c>
      <c r="F37" s="206" t="s">
        <v>90</v>
      </c>
      <c r="G37" s="241"/>
      <c r="H37" s="242">
        <v>2.0200948715209961</v>
      </c>
      <c r="I37" s="242">
        <v>2.4670213460922241</v>
      </c>
      <c r="J37" s="242">
        <v>1.90199875831604</v>
      </c>
      <c r="K37" s="242">
        <v>1.6447960138320923</v>
      </c>
      <c r="L37" s="242">
        <v>1.1482157707214355</v>
      </c>
      <c r="M37" s="242">
        <v>1.8175219297409058</v>
      </c>
      <c r="N37" s="242">
        <v>2.1459071636199951</v>
      </c>
      <c r="O37" s="243">
        <f>IF(AND(H37&gt;=H$3, H37&lt;=H$4),1,0)</f>
        <v>1</v>
      </c>
      <c r="P37" s="243">
        <f t="shared" si="7"/>
        <v>1</v>
      </c>
      <c r="Q37" s="243">
        <f t="shared" si="8"/>
        <v>1</v>
      </c>
      <c r="R37" s="243">
        <f t="shared" si="9"/>
        <v>1</v>
      </c>
      <c r="S37" s="243">
        <f t="shared" si="10"/>
        <v>1</v>
      </c>
      <c r="T37" s="243">
        <f t="shared" si="11"/>
        <v>1</v>
      </c>
      <c r="U37" s="243">
        <f t="shared" si="12"/>
        <v>1</v>
      </c>
      <c r="V37" s="244">
        <f t="shared" si="13"/>
        <v>7</v>
      </c>
      <c r="W37" s="243">
        <v>1</v>
      </c>
      <c r="X37" s="245">
        <f t="shared" si="14"/>
        <v>7</v>
      </c>
      <c r="Y37" s="246">
        <f t="shared" si="15"/>
        <v>13.145555853843689</v>
      </c>
      <c r="Z37"/>
      <c r="AA37"/>
      <c r="AB37"/>
      <c r="AC37"/>
      <c r="AF37"/>
      <c r="AH37" s="252">
        <f t="shared" si="20"/>
        <v>7</v>
      </c>
      <c r="AI37" s="252">
        <f t="shared" si="21"/>
        <v>6</v>
      </c>
      <c r="AJ37" s="252" t="str">
        <f t="shared" si="22"/>
        <v>Marker 6</v>
      </c>
      <c r="AK37" s="252">
        <f t="shared" si="23"/>
        <v>2</v>
      </c>
      <c r="AL37" s="252" t="str">
        <f t="shared" si="24"/>
        <v>L</v>
      </c>
      <c r="AM37" s="253"/>
      <c r="AN37" s="254">
        <f t="shared" si="25"/>
        <v>2.0200948715209961</v>
      </c>
      <c r="AO37" s="254">
        <f t="shared" si="26"/>
        <v>2.4670213460922241</v>
      </c>
      <c r="AP37" s="254">
        <f t="shared" si="27"/>
        <v>1.90199875831604</v>
      </c>
      <c r="AQ37" s="254">
        <f t="shared" si="28"/>
        <v>1.6447960138320923</v>
      </c>
      <c r="AR37" s="254">
        <f t="shared" si="33"/>
        <v>1.1482157707214355</v>
      </c>
      <c r="AS37" s="254">
        <v>2.9456522672530081</v>
      </c>
      <c r="AT37" s="254">
        <f t="shared" si="34"/>
        <v>2.1459071636199951</v>
      </c>
      <c r="AU37" s="254">
        <f t="shared" si="35"/>
        <v>14.273686191355791</v>
      </c>
    </row>
    <row r="38" spans="1:47" x14ac:dyDescent="0.25">
      <c r="A38" s="206">
        <v>6</v>
      </c>
      <c r="B38" s="206" t="s">
        <v>103</v>
      </c>
      <c r="C38" s="206">
        <v>3</v>
      </c>
      <c r="D38" s="206" t="s">
        <v>151</v>
      </c>
      <c r="E38" s="206">
        <v>8</v>
      </c>
      <c r="F38" s="206" t="s">
        <v>91</v>
      </c>
      <c r="G38" s="241"/>
      <c r="H38" s="242">
        <v>2.5268403291702271</v>
      </c>
      <c r="I38" s="242">
        <v>2.1607742309570313</v>
      </c>
      <c r="J38" s="242">
        <v>2.3037723302841187</v>
      </c>
      <c r="K38" s="242">
        <v>2.6153786182403564</v>
      </c>
      <c r="L38" s="242">
        <v>1.8337579965591431</v>
      </c>
      <c r="M38" s="242">
        <v>2.5940251350402832</v>
      </c>
      <c r="N38" s="242">
        <v>2.4420078992843628</v>
      </c>
      <c r="O38" s="243">
        <f>IF(AND(H38&gt;=H$3, H38&lt;=H$4),1,0)</f>
        <v>1</v>
      </c>
      <c r="P38" s="243">
        <f t="shared" si="7"/>
        <v>1</v>
      </c>
      <c r="Q38" s="243">
        <f t="shared" si="8"/>
        <v>1</v>
      </c>
      <c r="R38" s="243">
        <f t="shared" si="9"/>
        <v>1</v>
      </c>
      <c r="S38" s="243">
        <f t="shared" si="10"/>
        <v>1</v>
      </c>
      <c r="T38" s="243">
        <f t="shared" si="11"/>
        <v>1</v>
      </c>
      <c r="U38" s="243">
        <f t="shared" si="12"/>
        <v>1</v>
      </c>
      <c r="V38" s="244">
        <f t="shared" si="13"/>
        <v>7</v>
      </c>
      <c r="W38" s="243">
        <v>1</v>
      </c>
      <c r="X38" s="245">
        <f t="shared" si="14"/>
        <v>7</v>
      </c>
      <c r="Y38" s="246">
        <f t="shared" si="15"/>
        <v>16.476556539535522</v>
      </c>
      <c r="Z38"/>
      <c r="AA38"/>
      <c r="AB38"/>
      <c r="AC38"/>
      <c r="AF38"/>
      <c r="AH38" s="252">
        <f t="shared" si="20"/>
        <v>8</v>
      </c>
      <c r="AI38" s="252">
        <f t="shared" si="21"/>
        <v>6</v>
      </c>
      <c r="AJ38" s="252" t="str">
        <f t="shared" si="22"/>
        <v>Marker 6</v>
      </c>
      <c r="AK38" s="252">
        <f t="shared" si="23"/>
        <v>3</v>
      </c>
      <c r="AL38" s="252" t="str">
        <f t="shared" si="24"/>
        <v>L</v>
      </c>
      <c r="AM38" s="253"/>
      <c r="AN38" s="254">
        <f t="shared" si="25"/>
        <v>2.5268403291702271</v>
      </c>
      <c r="AO38" s="254">
        <f t="shared" si="26"/>
        <v>2.1607742309570313</v>
      </c>
      <c r="AP38" s="254">
        <f t="shared" si="27"/>
        <v>2.3037723302841187</v>
      </c>
      <c r="AQ38" s="254">
        <f t="shared" si="28"/>
        <v>2.6153786182403564</v>
      </c>
      <c r="AR38" s="254">
        <f t="shared" si="33"/>
        <v>1.8337579965591431</v>
      </c>
      <c r="AS38" s="254">
        <v>2.4111365315010334</v>
      </c>
      <c r="AT38" s="254">
        <f t="shared" si="34"/>
        <v>2.4420078992843628</v>
      </c>
      <c r="AU38" s="254">
        <f t="shared" si="35"/>
        <v>16.293667935996272</v>
      </c>
    </row>
    <row r="39" spans="1:47" x14ac:dyDescent="0.25">
      <c r="A39" s="206">
        <v>6</v>
      </c>
      <c r="B39" s="206" t="s">
        <v>103</v>
      </c>
      <c r="C39" s="206">
        <v>2</v>
      </c>
      <c r="D39" s="206" t="s">
        <v>152</v>
      </c>
      <c r="E39" s="206">
        <v>10</v>
      </c>
      <c r="F39" s="206" t="s">
        <v>93</v>
      </c>
      <c r="G39" s="241"/>
      <c r="H39" s="242">
        <v>2.386707067489624</v>
      </c>
      <c r="I39" s="242">
        <v>2.4616671800613403</v>
      </c>
      <c r="J39" s="242">
        <v>1.3846139907836914</v>
      </c>
      <c r="K39" s="242">
        <v>2.5472921133041382</v>
      </c>
      <c r="L39" s="242">
        <v>1.1397020816802979</v>
      </c>
      <c r="M39" s="242">
        <v>1.4961391687393188</v>
      </c>
      <c r="N39" s="242">
        <v>2.9008269309997559</v>
      </c>
      <c r="O39" s="243">
        <f>IF(AND(H39&gt;=H$3, H39&lt;=H$4),1,0)</f>
        <v>1</v>
      </c>
      <c r="P39" s="243">
        <f t="shared" si="7"/>
        <v>1</v>
      </c>
      <c r="Q39" s="243">
        <f t="shared" si="8"/>
        <v>1</v>
      </c>
      <c r="R39" s="243">
        <f t="shared" si="9"/>
        <v>1</v>
      </c>
      <c r="S39" s="243">
        <f t="shared" si="10"/>
        <v>1</v>
      </c>
      <c r="T39" s="243">
        <f t="shared" si="11"/>
        <v>1</v>
      </c>
      <c r="U39" s="243">
        <f t="shared" si="12"/>
        <v>1</v>
      </c>
      <c r="V39" s="244">
        <f t="shared" si="13"/>
        <v>7</v>
      </c>
      <c r="W39" s="243">
        <v>1</v>
      </c>
      <c r="X39" s="245">
        <f t="shared" si="14"/>
        <v>7</v>
      </c>
      <c r="Y39" s="246">
        <f t="shared" si="15"/>
        <v>14.316948533058167</v>
      </c>
      <c r="Z39"/>
      <c r="AA39"/>
      <c r="AB39"/>
      <c r="AC39"/>
      <c r="AF39"/>
      <c r="AH39" s="252">
        <f t="shared" si="20"/>
        <v>10</v>
      </c>
      <c r="AI39" s="252">
        <f t="shared" si="21"/>
        <v>6</v>
      </c>
      <c r="AJ39" s="252" t="str">
        <f t="shared" si="22"/>
        <v>Marker 6</v>
      </c>
      <c r="AK39" s="252">
        <f t="shared" si="23"/>
        <v>2</v>
      </c>
      <c r="AL39" s="252" t="str">
        <f t="shared" si="24"/>
        <v>M</v>
      </c>
      <c r="AM39" s="253"/>
      <c r="AN39" s="254">
        <f t="shared" si="25"/>
        <v>2.386707067489624</v>
      </c>
      <c r="AO39" s="254">
        <f t="shared" si="26"/>
        <v>2.4616671800613403</v>
      </c>
      <c r="AP39" s="254">
        <f t="shared" si="27"/>
        <v>1.3846139907836914</v>
      </c>
      <c r="AQ39" s="254">
        <f t="shared" si="28"/>
        <v>2.5472921133041382</v>
      </c>
      <c r="AR39" s="254">
        <f t="shared" si="33"/>
        <v>1.1397020816802979</v>
      </c>
      <c r="AS39" s="254">
        <v>1.6676976862700394</v>
      </c>
      <c r="AT39" s="254">
        <f t="shared" si="34"/>
        <v>2.9008269309997559</v>
      </c>
      <c r="AU39" s="254">
        <f t="shared" si="35"/>
        <v>14.488507050588886</v>
      </c>
    </row>
    <row r="40" spans="1:47" x14ac:dyDescent="0.25">
      <c r="A40" s="206">
        <v>7</v>
      </c>
      <c r="B40" s="206" t="s">
        <v>104</v>
      </c>
      <c r="C40" s="206">
        <v>1</v>
      </c>
      <c r="D40" s="206" t="s">
        <v>153</v>
      </c>
      <c r="E40" s="206">
        <v>1</v>
      </c>
      <c r="F40" s="206" t="s">
        <v>84</v>
      </c>
      <c r="G40" s="241"/>
      <c r="H40" s="242">
        <v>2.6397665739059448</v>
      </c>
      <c r="I40" s="242">
        <v>1.4389388561248779</v>
      </c>
      <c r="J40" s="242">
        <v>1.3684483766555786</v>
      </c>
      <c r="K40" s="242">
        <v>1.4738407135009766</v>
      </c>
      <c r="L40" s="242">
        <v>2.8509010076522827</v>
      </c>
      <c r="M40" s="242">
        <v>1.5150082111358643</v>
      </c>
      <c r="N40" s="242">
        <v>1.5118223428726196</v>
      </c>
      <c r="O40" s="243">
        <f>IF(AND(H40&gt;=H$3, H40&lt;=H$4),1,0)</f>
        <v>1</v>
      </c>
      <c r="P40" s="243">
        <f t="shared" si="7"/>
        <v>1</v>
      </c>
      <c r="Q40" s="243">
        <f t="shared" si="8"/>
        <v>1</v>
      </c>
      <c r="R40" s="243">
        <f t="shared" si="9"/>
        <v>1</v>
      </c>
      <c r="S40" s="243">
        <f t="shared" si="10"/>
        <v>1</v>
      </c>
      <c r="T40" s="243">
        <f t="shared" si="11"/>
        <v>1</v>
      </c>
      <c r="U40" s="243">
        <f t="shared" si="12"/>
        <v>1</v>
      </c>
      <c r="V40" s="244">
        <f t="shared" si="13"/>
        <v>7</v>
      </c>
      <c r="W40" s="243">
        <v>1</v>
      </c>
      <c r="X40" s="245">
        <f t="shared" si="14"/>
        <v>7</v>
      </c>
      <c r="Y40" s="246">
        <f t="shared" si="15"/>
        <v>12.798726081848145</v>
      </c>
      <c r="Z40"/>
      <c r="AA40"/>
      <c r="AB40"/>
      <c r="AC40"/>
      <c r="AF40"/>
      <c r="AH40" s="252">
        <f t="shared" si="20"/>
        <v>1</v>
      </c>
      <c r="AI40" s="252">
        <f t="shared" si="21"/>
        <v>7</v>
      </c>
      <c r="AJ40" s="252" t="str">
        <f t="shared" si="22"/>
        <v>Marker 7</v>
      </c>
      <c r="AK40" s="252">
        <f t="shared" si="23"/>
        <v>1</v>
      </c>
      <c r="AL40" s="252" t="str">
        <f t="shared" si="24"/>
        <v>H</v>
      </c>
      <c r="AM40" s="253"/>
      <c r="AN40" s="254">
        <f t="shared" si="25"/>
        <v>2.6397665739059448</v>
      </c>
      <c r="AO40" s="254">
        <f t="shared" si="26"/>
        <v>1.4389388561248779</v>
      </c>
      <c r="AP40" s="254">
        <f t="shared" si="27"/>
        <v>1.3684483766555786</v>
      </c>
      <c r="AQ40" s="254">
        <f t="shared" si="28"/>
        <v>1.4738407135009766</v>
      </c>
      <c r="AR40" s="254">
        <f t="shared" si="33"/>
        <v>2.8509010076522827</v>
      </c>
      <c r="AS40" s="254">
        <v>1.3517982350681745</v>
      </c>
      <c r="AT40" s="254">
        <f t="shared" si="34"/>
        <v>1.5118223428726196</v>
      </c>
      <c r="AU40" s="254">
        <f t="shared" si="35"/>
        <v>12.635516105780455</v>
      </c>
    </row>
    <row r="41" spans="1:47" x14ac:dyDescent="0.25">
      <c r="A41" s="206">
        <v>7</v>
      </c>
      <c r="B41" s="206" t="s">
        <v>104</v>
      </c>
      <c r="C41" s="206">
        <v>3</v>
      </c>
      <c r="D41" s="206" t="s">
        <v>151</v>
      </c>
      <c r="E41" s="206">
        <v>2</v>
      </c>
      <c r="F41" s="206" t="s">
        <v>85</v>
      </c>
      <c r="G41" s="241"/>
      <c r="H41" s="242">
        <v>2.4289727210998535</v>
      </c>
      <c r="I41" s="242">
        <v>2.3297432661056519</v>
      </c>
      <c r="J41" s="242">
        <v>2.5457665920257568</v>
      </c>
      <c r="K41" s="242">
        <v>2.5176917314529419</v>
      </c>
      <c r="L41" s="242">
        <v>1.6169309616088867</v>
      </c>
      <c r="M41" s="242">
        <v>2.6491693258285522</v>
      </c>
      <c r="N41" s="242">
        <v>2.4375860691070557</v>
      </c>
      <c r="O41" s="243">
        <f>IF(AND(H41&gt;=H$3, H41&lt;=H$4),1,0)</f>
        <v>1</v>
      </c>
      <c r="P41" s="243">
        <f t="shared" si="7"/>
        <v>1</v>
      </c>
      <c r="Q41" s="243">
        <f t="shared" si="8"/>
        <v>1</v>
      </c>
      <c r="R41" s="243">
        <f t="shared" si="9"/>
        <v>1</v>
      </c>
      <c r="S41" s="243">
        <f t="shared" si="10"/>
        <v>1</v>
      </c>
      <c r="T41" s="243">
        <f t="shared" si="11"/>
        <v>1</v>
      </c>
      <c r="U41" s="243">
        <f t="shared" si="12"/>
        <v>1</v>
      </c>
      <c r="V41" s="244">
        <f t="shared" si="13"/>
        <v>7</v>
      </c>
      <c r="W41" s="243">
        <v>1</v>
      </c>
      <c r="X41" s="245">
        <f t="shared" si="14"/>
        <v>7</v>
      </c>
      <c r="Y41" s="246">
        <f t="shared" si="15"/>
        <v>16.525860667228699</v>
      </c>
      <c r="Z41"/>
      <c r="AA41"/>
      <c r="AB41"/>
      <c r="AC41"/>
      <c r="AF41"/>
      <c r="AH41" s="252">
        <f t="shared" si="20"/>
        <v>2</v>
      </c>
      <c r="AI41" s="252">
        <f t="shared" si="21"/>
        <v>7</v>
      </c>
      <c r="AJ41" s="252" t="str">
        <f t="shared" si="22"/>
        <v>Marker 7</v>
      </c>
      <c r="AK41" s="252">
        <f t="shared" si="23"/>
        <v>3</v>
      </c>
      <c r="AL41" s="252" t="str">
        <f t="shared" si="24"/>
        <v>L</v>
      </c>
      <c r="AM41" s="253"/>
      <c r="AN41" s="254">
        <f t="shared" si="25"/>
        <v>2.4289727210998535</v>
      </c>
      <c r="AO41" s="254">
        <f t="shared" si="26"/>
        <v>2.3297432661056519</v>
      </c>
      <c r="AP41" s="254">
        <f t="shared" si="27"/>
        <v>2.5457665920257568</v>
      </c>
      <c r="AQ41" s="254">
        <f t="shared" si="28"/>
        <v>2.5176917314529419</v>
      </c>
      <c r="AR41" s="254">
        <f t="shared" si="33"/>
        <v>1.6169309616088867</v>
      </c>
      <c r="AS41" s="254">
        <v>2.3419886818803488</v>
      </c>
      <c r="AT41" s="254">
        <f t="shared" si="34"/>
        <v>2.4375860691070557</v>
      </c>
      <c r="AU41" s="254">
        <f t="shared" si="35"/>
        <v>16.218680023280495</v>
      </c>
    </row>
    <row r="42" spans="1:47" x14ac:dyDescent="0.25">
      <c r="A42" s="206">
        <v>7</v>
      </c>
      <c r="B42" s="206" t="s">
        <v>104</v>
      </c>
      <c r="C42" s="206">
        <v>2</v>
      </c>
      <c r="D42" s="206" t="s">
        <v>151</v>
      </c>
      <c r="E42" s="206">
        <v>3</v>
      </c>
      <c r="F42" s="206" t="s">
        <v>86</v>
      </c>
      <c r="G42" s="241"/>
      <c r="H42" s="242">
        <v>2.7919403314590454</v>
      </c>
      <c r="I42" s="242">
        <v>1.4450640678405762</v>
      </c>
      <c r="J42" s="242">
        <v>1.7121332883834839</v>
      </c>
      <c r="K42" s="242">
        <v>2.1066043376922607</v>
      </c>
      <c r="L42" s="242">
        <v>1.7111550569534302</v>
      </c>
      <c r="M42" s="242">
        <v>1.4086112976074219</v>
      </c>
      <c r="N42" s="242">
        <v>2.1579173803329468</v>
      </c>
      <c r="O42" s="243">
        <f>IF(AND(H42&gt;=H$3, H42&lt;=H$4),1,0)</f>
        <v>1</v>
      </c>
      <c r="P42" s="243">
        <f t="shared" si="7"/>
        <v>1</v>
      </c>
      <c r="Q42" s="243">
        <f t="shared" si="8"/>
        <v>1</v>
      </c>
      <c r="R42" s="243">
        <f t="shared" si="9"/>
        <v>1</v>
      </c>
      <c r="S42" s="243">
        <f t="shared" si="10"/>
        <v>1</v>
      </c>
      <c r="T42" s="243">
        <f t="shared" si="11"/>
        <v>1</v>
      </c>
      <c r="U42" s="243">
        <f t="shared" si="12"/>
        <v>1</v>
      </c>
      <c r="V42" s="244">
        <f t="shared" si="13"/>
        <v>7</v>
      </c>
      <c r="W42" s="243">
        <v>1</v>
      </c>
      <c r="X42" s="245">
        <f t="shared" si="14"/>
        <v>7</v>
      </c>
      <c r="Y42" s="246">
        <f t="shared" si="15"/>
        <v>13.333425760269165</v>
      </c>
      <c r="Z42"/>
      <c r="AA42"/>
      <c r="AB42"/>
      <c r="AC42"/>
      <c r="AF42"/>
      <c r="AH42" s="252">
        <f t="shared" si="20"/>
        <v>3</v>
      </c>
      <c r="AI42" s="252">
        <f t="shared" si="21"/>
        <v>7</v>
      </c>
      <c r="AJ42" s="252" t="str">
        <f t="shared" si="22"/>
        <v>Marker 7</v>
      </c>
      <c r="AK42" s="252">
        <f t="shared" si="23"/>
        <v>2</v>
      </c>
      <c r="AL42" s="252" t="str">
        <f t="shared" si="24"/>
        <v>L</v>
      </c>
      <c r="AM42" s="253"/>
      <c r="AN42" s="254">
        <f t="shared" si="25"/>
        <v>2.7919403314590454</v>
      </c>
      <c r="AO42" s="254">
        <f t="shared" si="26"/>
        <v>1.4450640678405762</v>
      </c>
      <c r="AP42" s="254">
        <f t="shared" si="27"/>
        <v>1.7121332883834839</v>
      </c>
      <c r="AQ42" s="254">
        <f t="shared" si="28"/>
        <v>2.1066043376922607</v>
      </c>
      <c r="AR42" s="254">
        <f t="shared" si="33"/>
        <v>1.7111550569534302</v>
      </c>
      <c r="AS42" s="254">
        <v>2.7442962074786861</v>
      </c>
      <c r="AT42" s="254">
        <f t="shared" si="34"/>
        <v>2.1579173803329468</v>
      </c>
      <c r="AU42" s="254">
        <f t="shared" si="35"/>
        <v>14.66911067014043</v>
      </c>
    </row>
    <row r="43" spans="1:47" x14ac:dyDescent="0.25">
      <c r="A43" s="206">
        <v>7</v>
      </c>
      <c r="B43" s="206" t="s">
        <v>104</v>
      </c>
      <c r="C43" s="206">
        <v>4</v>
      </c>
      <c r="D43" s="206" t="s">
        <v>151</v>
      </c>
      <c r="E43" s="206">
        <v>5</v>
      </c>
      <c r="F43" s="206" t="s">
        <v>88</v>
      </c>
      <c r="G43" s="241"/>
      <c r="H43" s="242">
        <v>2.2599747180938721</v>
      </c>
      <c r="I43" s="242">
        <v>1.2788759469985962</v>
      </c>
      <c r="J43" s="242">
        <v>1.1219525337219238</v>
      </c>
      <c r="K43" s="242">
        <v>2.2683819532394409</v>
      </c>
      <c r="L43" s="242">
        <v>2.6771161556243896</v>
      </c>
      <c r="M43" s="242">
        <v>2.2818461656570435</v>
      </c>
      <c r="N43" s="242">
        <v>1.849858283996582</v>
      </c>
      <c r="O43" s="243">
        <f>IF(AND(H43&gt;=H$3, H43&lt;=H$4),1,0)</f>
        <v>1</v>
      </c>
      <c r="P43" s="243">
        <f t="shared" si="7"/>
        <v>1</v>
      </c>
      <c r="Q43" s="243">
        <f t="shared" si="8"/>
        <v>1</v>
      </c>
      <c r="R43" s="243">
        <f t="shared" si="9"/>
        <v>1</v>
      </c>
      <c r="S43" s="243">
        <f t="shared" si="10"/>
        <v>1</v>
      </c>
      <c r="T43" s="243">
        <f t="shared" si="11"/>
        <v>1</v>
      </c>
      <c r="U43" s="243">
        <f t="shared" si="12"/>
        <v>1</v>
      </c>
      <c r="V43" s="244">
        <f t="shared" si="13"/>
        <v>7</v>
      </c>
      <c r="W43" s="243">
        <v>1</v>
      </c>
      <c r="X43" s="245">
        <f t="shared" si="14"/>
        <v>7</v>
      </c>
      <c r="Y43" s="246">
        <f t="shared" si="15"/>
        <v>13.738005757331848</v>
      </c>
      <c r="Z43"/>
      <c r="AA43"/>
      <c r="AB43"/>
      <c r="AC43"/>
      <c r="AF43"/>
      <c r="AH43" s="252">
        <f t="shared" si="20"/>
        <v>5</v>
      </c>
      <c r="AI43" s="252">
        <f t="shared" si="21"/>
        <v>7</v>
      </c>
      <c r="AJ43" s="252" t="str">
        <f t="shared" si="22"/>
        <v>Marker 7</v>
      </c>
      <c r="AK43" s="252">
        <f t="shared" si="23"/>
        <v>4</v>
      </c>
      <c r="AL43" s="252" t="str">
        <f t="shared" si="24"/>
        <v>L</v>
      </c>
      <c r="AM43" s="253"/>
      <c r="AN43" s="254">
        <f t="shared" si="25"/>
        <v>2.2599747180938721</v>
      </c>
      <c r="AO43" s="254">
        <f t="shared" si="26"/>
        <v>1.2788759469985962</v>
      </c>
      <c r="AP43" s="254">
        <f t="shared" si="27"/>
        <v>1.1219525337219238</v>
      </c>
      <c r="AQ43" s="254">
        <f t="shared" si="28"/>
        <v>2.2683819532394409</v>
      </c>
      <c r="AR43" s="254">
        <f t="shared" si="33"/>
        <v>2.6771161556243896</v>
      </c>
      <c r="AS43" s="254">
        <v>2.1252232521880945</v>
      </c>
      <c r="AT43" s="254">
        <f t="shared" si="34"/>
        <v>1.849858283996582</v>
      </c>
      <c r="AU43" s="254">
        <f t="shared" si="35"/>
        <v>13.581382843862899</v>
      </c>
    </row>
    <row r="44" spans="1:47" x14ac:dyDescent="0.25">
      <c r="A44" s="206">
        <v>7</v>
      </c>
      <c r="B44" s="206" t="s">
        <v>104</v>
      </c>
      <c r="C44" s="206">
        <v>3</v>
      </c>
      <c r="D44" s="206" t="s">
        <v>151</v>
      </c>
      <c r="E44" s="206">
        <v>6</v>
      </c>
      <c r="F44" s="206" t="s">
        <v>89</v>
      </c>
      <c r="G44" s="241"/>
      <c r="H44" s="242">
        <v>1.3742154836654663</v>
      </c>
      <c r="I44" s="242">
        <v>1.9909632205963135</v>
      </c>
      <c r="J44" s="242">
        <v>2.946262001991272</v>
      </c>
      <c r="K44" s="242">
        <v>2.5387396812438965</v>
      </c>
      <c r="L44" s="242">
        <v>1.7611845731735229</v>
      </c>
      <c r="M44" s="242">
        <v>1.9692161083221436</v>
      </c>
      <c r="N44" s="242">
        <v>2.0940228700637817</v>
      </c>
      <c r="O44" s="243">
        <f>IF(AND(H44&gt;=H$3, H44&lt;=H$4),1,0)</f>
        <v>1</v>
      </c>
      <c r="P44" s="243">
        <f t="shared" si="7"/>
        <v>1</v>
      </c>
      <c r="Q44" s="243">
        <f t="shared" si="8"/>
        <v>1</v>
      </c>
      <c r="R44" s="243">
        <f t="shared" si="9"/>
        <v>1</v>
      </c>
      <c r="S44" s="243">
        <f t="shared" si="10"/>
        <v>1</v>
      </c>
      <c r="T44" s="243">
        <f t="shared" si="11"/>
        <v>1</v>
      </c>
      <c r="U44" s="243">
        <f t="shared" si="12"/>
        <v>1</v>
      </c>
      <c r="V44" s="244">
        <f t="shared" si="13"/>
        <v>7</v>
      </c>
      <c r="W44" s="243">
        <v>1</v>
      </c>
      <c r="X44" s="245">
        <f t="shared" si="14"/>
        <v>7</v>
      </c>
      <c r="Y44" s="246">
        <f t="shared" si="15"/>
        <v>14.674603939056396</v>
      </c>
      <c r="Z44"/>
      <c r="AA44"/>
      <c r="AB44"/>
      <c r="AC44"/>
      <c r="AF44"/>
      <c r="AH44" s="252">
        <f t="shared" si="20"/>
        <v>6</v>
      </c>
      <c r="AI44" s="252">
        <f t="shared" si="21"/>
        <v>7</v>
      </c>
      <c r="AJ44" s="252" t="str">
        <f t="shared" si="22"/>
        <v>Marker 7</v>
      </c>
      <c r="AK44" s="252">
        <f t="shared" si="23"/>
        <v>3</v>
      </c>
      <c r="AL44" s="252" t="str">
        <f t="shared" si="24"/>
        <v>L</v>
      </c>
      <c r="AM44" s="253"/>
      <c r="AN44" s="254">
        <f t="shared" si="25"/>
        <v>1.3742154836654663</v>
      </c>
      <c r="AO44" s="254">
        <f t="shared" si="26"/>
        <v>1.9909632205963135</v>
      </c>
      <c r="AP44" s="254">
        <f t="shared" si="27"/>
        <v>2.946262001991272</v>
      </c>
      <c r="AQ44" s="254">
        <f t="shared" si="28"/>
        <v>2.5387396812438965</v>
      </c>
      <c r="AR44" s="254">
        <f t="shared" si="33"/>
        <v>1.7611845731735229</v>
      </c>
      <c r="AS44" s="254">
        <v>2.0099750391272875</v>
      </c>
      <c r="AT44" s="254">
        <f t="shared" si="34"/>
        <v>2.0940228700637817</v>
      </c>
      <c r="AU44" s="254">
        <f t="shared" si="35"/>
        <v>14.71536286986154</v>
      </c>
    </row>
    <row r="45" spans="1:47" x14ac:dyDescent="0.25">
      <c r="Q45"/>
      <c r="R45"/>
      <c r="S45"/>
      <c r="X45"/>
      <c r="Y45"/>
      <c r="AA45"/>
      <c r="AB45"/>
      <c r="AC45"/>
      <c r="AF45"/>
      <c r="AH45"/>
      <c r="AI45"/>
      <c r="AL45"/>
    </row>
    <row r="46" spans="1:47" x14ac:dyDescent="0.25">
      <c r="Q46"/>
      <c r="R46"/>
      <c r="S46"/>
      <c r="X46"/>
      <c r="Y46"/>
      <c r="AA46"/>
      <c r="AB46"/>
      <c r="AC46"/>
      <c r="AF46"/>
      <c r="AH46"/>
      <c r="AI46"/>
      <c r="AL46"/>
    </row>
    <row r="47" spans="1:47" x14ac:dyDescent="0.25">
      <c r="Q47"/>
      <c r="R47"/>
      <c r="S47"/>
      <c r="X47"/>
      <c r="Y47"/>
      <c r="AA47"/>
      <c r="AB47"/>
      <c r="AC47"/>
      <c r="AF47"/>
      <c r="AH47"/>
      <c r="AI47"/>
      <c r="AL47"/>
    </row>
    <row r="48" spans="1:47" x14ac:dyDescent="0.25">
      <c r="Q48"/>
      <c r="R48"/>
      <c r="S48"/>
      <c r="X48"/>
      <c r="Y48"/>
      <c r="AA48"/>
      <c r="AB48"/>
      <c r="AC48"/>
      <c r="AF48"/>
      <c r="AH48"/>
      <c r="AI48"/>
      <c r="AL48"/>
    </row>
    <row r="49" spans="17:38" x14ac:dyDescent="0.25">
      <c r="Q49"/>
      <c r="R49"/>
      <c r="S49"/>
      <c r="X49"/>
      <c r="Y49"/>
      <c r="AA49"/>
      <c r="AB49"/>
      <c r="AC49"/>
      <c r="AF49"/>
      <c r="AH49"/>
      <c r="AI49"/>
      <c r="AL49"/>
    </row>
    <row r="50" spans="17:38" x14ac:dyDescent="0.25">
      <c r="Q50"/>
      <c r="R50"/>
      <c r="S50"/>
      <c r="X50"/>
      <c r="Y50"/>
      <c r="AH50"/>
      <c r="AI50"/>
      <c r="AL50"/>
    </row>
    <row r="51" spans="17:38" x14ac:dyDescent="0.25">
      <c r="Q51"/>
      <c r="R51"/>
      <c r="S51"/>
      <c r="X51"/>
      <c r="Y51"/>
      <c r="AH51"/>
      <c r="AI51"/>
      <c r="AL51"/>
    </row>
    <row r="52" spans="17:38" x14ac:dyDescent="0.25">
      <c r="Q52"/>
      <c r="R52"/>
      <c r="S52"/>
      <c r="X52"/>
      <c r="Y52"/>
      <c r="AH52"/>
      <c r="AI52"/>
      <c r="AL52"/>
    </row>
    <row r="53" spans="17:38" x14ac:dyDescent="0.25">
      <c r="Q53"/>
      <c r="R53"/>
      <c r="S53"/>
      <c r="X53"/>
      <c r="Y53"/>
      <c r="AH53"/>
      <c r="AI53"/>
      <c r="AL53"/>
    </row>
    <row r="54" spans="17:38" x14ac:dyDescent="0.25">
      <c r="Q54"/>
      <c r="R54"/>
      <c r="S54"/>
      <c r="X54"/>
      <c r="Y54"/>
      <c r="AH54"/>
      <c r="AI54"/>
      <c r="AL54"/>
    </row>
    <row r="55" spans="17:38" x14ac:dyDescent="0.25">
      <c r="Q55"/>
      <c r="R55"/>
      <c r="S55"/>
      <c r="X55"/>
      <c r="Y55"/>
      <c r="AH55"/>
      <c r="AI55"/>
      <c r="AL55"/>
    </row>
    <row r="56" spans="17:38" x14ac:dyDescent="0.25">
      <c r="Q56"/>
      <c r="R56"/>
      <c r="S56"/>
      <c r="X56"/>
      <c r="Y56"/>
      <c r="AH56"/>
      <c r="AI56"/>
      <c r="AL56"/>
    </row>
    <row r="57" spans="17:38" x14ac:dyDescent="0.25">
      <c r="Q57"/>
      <c r="R57"/>
      <c r="S57"/>
      <c r="X57"/>
      <c r="Y57"/>
      <c r="AH57"/>
      <c r="AI57"/>
      <c r="AL57"/>
    </row>
    <row r="58" spans="17:38" x14ac:dyDescent="0.25">
      <c r="Q58"/>
      <c r="R58"/>
      <c r="S58"/>
      <c r="X58"/>
      <c r="Y58"/>
      <c r="AH58"/>
      <c r="AI58"/>
      <c r="AL58"/>
    </row>
    <row r="59" spans="17:38" x14ac:dyDescent="0.25">
      <c r="Q59"/>
      <c r="R59"/>
      <c r="S59"/>
      <c r="X59"/>
      <c r="Y59"/>
      <c r="AH59"/>
      <c r="AI59"/>
      <c r="AL59"/>
    </row>
    <row r="60" spans="17:38" x14ac:dyDescent="0.25">
      <c r="Q60"/>
      <c r="R60"/>
      <c r="S60"/>
      <c r="X60"/>
      <c r="Y60"/>
      <c r="AH60"/>
      <c r="AI60"/>
      <c r="AL60"/>
    </row>
    <row r="61" spans="17:38" x14ac:dyDescent="0.25">
      <c r="Q61"/>
      <c r="R61"/>
      <c r="S61"/>
      <c r="X61"/>
      <c r="Y61"/>
      <c r="AH61"/>
      <c r="AI61"/>
      <c r="AL61"/>
    </row>
    <row r="62" spans="17:38" x14ac:dyDescent="0.25">
      <c r="Q62"/>
      <c r="R62"/>
      <c r="S62"/>
      <c r="X62"/>
      <c r="Y62"/>
      <c r="AH62"/>
      <c r="AI62"/>
      <c r="AL62"/>
    </row>
    <row r="63" spans="17:38" x14ac:dyDescent="0.25">
      <c r="Q63"/>
      <c r="R63"/>
      <c r="S63"/>
      <c r="X63"/>
      <c r="Y63"/>
      <c r="AH63"/>
      <c r="AI63"/>
      <c r="AL63"/>
    </row>
    <row r="64" spans="17:38" x14ac:dyDescent="0.25">
      <c r="Q64"/>
      <c r="R64"/>
      <c r="S64"/>
      <c r="X64"/>
      <c r="Y64"/>
      <c r="AH64"/>
      <c r="AI64"/>
      <c r="AL64"/>
    </row>
    <row r="65" spans="17:38" x14ac:dyDescent="0.25">
      <c r="Q65"/>
      <c r="R65"/>
      <c r="S65"/>
      <c r="X65"/>
      <c r="Y65"/>
      <c r="AH65"/>
      <c r="AI65"/>
      <c r="AL65"/>
    </row>
    <row r="66" spans="17:38" x14ac:dyDescent="0.25">
      <c r="Q66"/>
      <c r="R66"/>
      <c r="S66"/>
      <c r="X66"/>
      <c r="Y66"/>
      <c r="AH66"/>
      <c r="AI66"/>
      <c r="AL66"/>
    </row>
    <row r="67" spans="17:38" x14ac:dyDescent="0.25">
      <c r="Q67"/>
      <c r="R67"/>
      <c r="S67"/>
      <c r="X67"/>
      <c r="Y67"/>
      <c r="AH67"/>
      <c r="AI67"/>
      <c r="AL67"/>
    </row>
    <row r="68" spans="17:38" x14ac:dyDescent="0.25">
      <c r="Q68"/>
      <c r="R68"/>
      <c r="S68"/>
      <c r="X68"/>
      <c r="Y68"/>
      <c r="AH68"/>
      <c r="AI68"/>
      <c r="AL68"/>
    </row>
    <row r="69" spans="17:38" x14ac:dyDescent="0.25">
      <c r="Q69"/>
      <c r="R69"/>
      <c r="S69"/>
      <c r="X69"/>
      <c r="Y69"/>
      <c r="AH69"/>
      <c r="AI69"/>
      <c r="AL69"/>
    </row>
    <row r="70" spans="17:38" x14ac:dyDescent="0.25">
      <c r="Q70"/>
      <c r="R70"/>
      <c r="S70"/>
      <c r="X70"/>
      <c r="Y70"/>
      <c r="AH70"/>
      <c r="AI70"/>
      <c r="AL70"/>
    </row>
    <row r="71" spans="17:38" x14ac:dyDescent="0.25">
      <c r="Q71"/>
      <c r="R71"/>
      <c r="S71"/>
      <c r="X71"/>
      <c r="Y71"/>
      <c r="AH71"/>
      <c r="AI71"/>
      <c r="AL71"/>
    </row>
    <row r="72" spans="17:38" x14ac:dyDescent="0.25">
      <c r="Q72"/>
      <c r="R72"/>
      <c r="S72"/>
      <c r="X72"/>
      <c r="Y72"/>
      <c r="AH72"/>
      <c r="AI72"/>
      <c r="AL72"/>
    </row>
    <row r="73" spans="17:38" x14ac:dyDescent="0.25">
      <c r="Q73"/>
      <c r="R73"/>
      <c r="S73"/>
      <c r="X73"/>
      <c r="Y73"/>
      <c r="AH73"/>
      <c r="AI73"/>
      <c r="AL73"/>
    </row>
    <row r="74" spans="17:38" x14ac:dyDescent="0.25">
      <c r="Q74"/>
      <c r="R74"/>
      <c r="S74"/>
      <c r="X74"/>
      <c r="Y74"/>
      <c r="AH74"/>
      <c r="AI74"/>
      <c r="AL74"/>
    </row>
    <row r="75" spans="17:38" x14ac:dyDescent="0.25">
      <c r="Q75"/>
      <c r="R75"/>
      <c r="S75"/>
      <c r="X75"/>
      <c r="Y75"/>
      <c r="AH75"/>
      <c r="AI75"/>
      <c r="AL75"/>
    </row>
    <row r="76" spans="17:38" x14ac:dyDescent="0.25">
      <c r="Q76"/>
      <c r="R76"/>
      <c r="S76"/>
      <c r="X76"/>
      <c r="Y76"/>
      <c r="AH76"/>
      <c r="AI76"/>
      <c r="AL76"/>
    </row>
    <row r="77" spans="17:38" x14ac:dyDescent="0.25">
      <c r="Q77"/>
      <c r="R77"/>
      <c r="S77"/>
      <c r="X77"/>
      <c r="Y77"/>
      <c r="AH77"/>
      <c r="AI77"/>
      <c r="AL77"/>
    </row>
    <row r="78" spans="17:38" x14ac:dyDescent="0.25">
      <c r="Q78"/>
      <c r="R78"/>
      <c r="S78"/>
      <c r="X78"/>
      <c r="Y78"/>
      <c r="AH78"/>
      <c r="AI78"/>
      <c r="AL78"/>
    </row>
    <row r="79" spans="17:38" x14ac:dyDescent="0.25">
      <c r="Q79"/>
      <c r="R79"/>
      <c r="S79"/>
      <c r="X79"/>
      <c r="Y79"/>
      <c r="AH79"/>
      <c r="AI79"/>
      <c r="AL79"/>
    </row>
    <row r="80" spans="17:38" x14ac:dyDescent="0.25">
      <c r="Q80"/>
      <c r="R80"/>
      <c r="S80"/>
      <c r="X80"/>
      <c r="Y80"/>
      <c r="AH80"/>
      <c r="AI80"/>
      <c r="AL80"/>
    </row>
    <row r="81" spans="17:38" x14ac:dyDescent="0.25">
      <c r="Q81"/>
      <c r="R81"/>
      <c r="S81"/>
      <c r="X81"/>
      <c r="Y81"/>
      <c r="AH81"/>
      <c r="AI81"/>
      <c r="AL81"/>
    </row>
    <row r="82" spans="17:38" x14ac:dyDescent="0.25">
      <c r="Q82"/>
      <c r="R82"/>
      <c r="S82"/>
      <c r="X82"/>
      <c r="Y82"/>
      <c r="AH82"/>
      <c r="AI82"/>
      <c r="AL82"/>
    </row>
  </sheetData>
  <sortState xmlns:xlrd2="http://schemas.microsoft.com/office/spreadsheetml/2017/richdata2" ref="AR5:BB14">
    <sortCondition descending="1" ref="BB5:BB14"/>
  </sortState>
  <mergeCells count="31">
    <mergeCell ref="O2:O4"/>
    <mergeCell ref="A1:F1"/>
    <mergeCell ref="V1:X1"/>
    <mergeCell ref="AC1:AJ1"/>
    <mergeCell ref="AR1:BA1"/>
    <mergeCell ref="A2:A4"/>
    <mergeCell ref="B2:B4"/>
    <mergeCell ref="C2:C4"/>
    <mergeCell ref="D2:D4"/>
    <mergeCell ref="E2:E4"/>
    <mergeCell ref="AC2:AC4"/>
    <mergeCell ref="P2:P4"/>
    <mergeCell ref="Q2:Q4"/>
    <mergeCell ref="R2:R4"/>
    <mergeCell ref="S2:S4"/>
    <mergeCell ref="T2:T4"/>
    <mergeCell ref="U2:U4"/>
    <mergeCell ref="W2:W4"/>
    <mergeCell ref="X2:X4"/>
    <mergeCell ref="Y2:Y4"/>
    <mergeCell ref="AA2:AA4"/>
    <mergeCell ref="AB2:AB4"/>
    <mergeCell ref="AL2:AL4"/>
    <mergeCell ref="BF2:BF4"/>
    <mergeCell ref="BG2:BG4"/>
    <mergeCell ref="AD2:AD4"/>
    <mergeCell ref="AF2:AF4"/>
    <mergeCell ref="AH2:AH4"/>
    <mergeCell ref="AI2:AI4"/>
    <mergeCell ref="AJ2:AJ4"/>
    <mergeCell ref="AK2:AK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A19DE-9EA2-4FB6-BA46-83EB57E2461C}">
  <sheetPr codeName="Sheet36">
    <tabColor theme="9" tint="0.79998168889431442"/>
  </sheetPr>
  <dimension ref="A1:Y13"/>
  <sheetViews>
    <sheetView zoomScale="130" zoomScaleNormal="130" workbookViewId="0">
      <pane ySplit="3" topLeftCell="A4" activePane="bottomLeft" state="frozen"/>
      <selection activeCell="B10" sqref="B10"/>
      <selection pane="bottomLeft"/>
    </sheetView>
  </sheetViews>
  <sheetFormatPr defaultRowHeight="15" x14ac:dyDescent="0.25"/>
  <cols>
    <col min="1" max="2" width="3.7109375" bestFit="1" customWidth="1"/>
    <col min="3" max="5" width="4.85546875" style="173" bestFit="1" customWidth="1"/>
    <col min="6" max="6" width="4.85546875" style="472" bestFit="1" customWidth="1"/>
    <col min="7" max="7" width="3.7109375" bestFit="1" customWidth="1"/>
    <col min="8" max="10" width="4.85546875" style="173" bestFit="1" customWidth="1"/>
    <col min="11" max="13" width="3.7109375" style="173" bestFit="1" customWidth="1"/>
    <col min="14" max="14" width="4.85546875" style="173" bestFit="1" customWidth="1"/>
    <col min="15" max="15" width="4.85546875" style="472" bestFit="1" customWidth="1"/>
    <col min="16" max="17" width="4.85546875" style="173" bestFit="1" customWidth="1"/>
    <col min="18" max="18" width="3.7109375" bestFit="1" customWidth="1"/>
    <col min="19" max="21" width="4.85546875" style="173" bestFit="1" customWidth="1"/>
    <col min="22" max="24" width="3.7109375" style="173" bestFit="1" customWidth="1"/>
    <col min="25" max="25" width="3.7109375" bestFit="1" customWidth="1"/>
    <col min="26" max="27" width="9.140625" customWidth="1"/>
    <col min="33" max="41" width="9.140625" customWidth="1"/>
  </cols>
  <sheetData>
    <row r="1" spans="1:25" x14ac:dyDescent="0.25">
      <c r="A1" s="204" t="s">
        <v>268</v>
      </c>
      <c r="B1" s="259"/>
      <c r="C1" s="469" t="s">
        <v>190</v>
      </c>
      <c r="D1" s="469"/>
      <c r="E1" s="469"/>
      <c r="F1" s="469"/>
      <c r="G1" s="260"/>
      <c r="H1" s="473"/>
      <c r="I1" s="473"/>
      <c r="J1" s="473"/>
      <c r="K1" s="473"/>
      <c r="L1" s="473"/>
      <c r="M1" s="474"/>
      <c r="N1" s="475" t="s">
        <v>191</v>
      </c>
      <c r="O1" s="475"/>
      <c r="P1" s="475"/>
      <c r="Q1" s="475"/>
      <c r="R1" s="261"/>
      <c r="S1" s="478"/>
      <c r="T1" s="478"/>
      <c r="U1" s="478"/>
      <c r="V1" s="478"/>
      <c r="W1" s="478"/>
      <c r="X1" s="479"/>
      <c r="Y1" s="204"/>
    </row>
    <row r="2" spans="1:25" x14ac:dyDescent="0.25">
      <c r="A2" s="226"/>
      <c r="B2" s="262"/>
      <c r="C2" s="480">
        <v>1</v>
      </c>
      <c r="D2" s="480">
        <v>2</v>
      </c>
      <c r="E2" s="480">
        <v>3</v>
      </c>
      <c r="F2" s="480">
        <v>4</v>
      </c>
      <c r="G2" s="263">
        <f>IF(COUNT(G4:G13)&gt;0,AVERAGE(G4:G13),"")</f>
        <v>4</v>
      </c>
      <c r="H2" s="470">
        <f>IF(COUNT(H4:H13)&gt;0,AVERAGE(H4:H13),"")</f>
        <v>13.962725055217742</v>
      </c>
      <c r="I2" s="470">
        <f>IF(COUNT(I4:I13)&gt;0,AVERAGE(I4:I13),"")</f>
        <v>12.702673506736755</v>
      </c>
      <c r="J2" s="470">
        <f>IF(COUNT(J4:J13)&gt;0,AVERAGE(J4:J13),"")</f>
        <v>15.506958687305451</v>
      </c>
      <c r="K2" s="470">
        <f>IF(COUNT(K4:K13)&gt;0,AVERAGE(K4:K13),"")</f>
        <v>2.8042851805686952</v>
      </c>
      <c r="L2" s="470">
        <f>IF(COUNT(L4:L13)&gt;0,AVERAGE(L4:L13),"")</f>
        <v>1.3140148834938299</v>
      </c>
      <c r="M2" s="470">
        <f>IF(COUNT(M4:M13)&gt;0,AVERAGE(M4:M13),"")</f>
        <v>1.0714914054278504</v>
      </c>
      <c r="N2" s="481">
        <v>1</v>
      </c>
      <c r="O2" s="481">
        <v>2</v>
      </c>
      <c r="P2" s="481">
        <v>3</v>
      </c>
      <c r="Q2" s="481">
        <v>4</v>
      </c>
      <c r="R2" s="264">
        <f>IF(COUNT(R4:R13)&gt;0,AVERAGE(R4:R13),"")</f>
        <v>4</v>
      </c>
      <c r="S2" s="476">
        <f>IF(COUNT(S4:S13)&gt;0,AVERAGE(S4:S13),"")</f>
        <v>14.288083637880984</v>
      </c>
      <c r="T2" s="476">
        <f>IF(COUNT(T4:T13)&gt;0,AVERAGE(T4:T13),"")</f>
        <v>12.498581949249319</v>
      </c>
      <c r="U2" s="476">
        <f>IF(COUNT(U4:U13)&gt;0,AVERAGE(U4:U13),"")</f>
        <v>15.985479375048669</v>
      </c>
      <c r="V2" s="476">
        <f>IF(COUNT(V4:V13)&gt;0,AVERAGE(V4:V13),"")</f>
        <v>3.4868974257993472</v>
      </c>
      <c r="W2" s="476">
        <f>IF(COUNT(W4:W13)&gt;0,AVERAGE(W4:W13),"")</f>
        <v>1.9235343816932082</v>
      </c>
      <c r="X2" s="476">
        <f>IF(COUNT(X4:X13)&gt;0,AVERAGE(X4:X13),"")</f>
        <v>1.3377115407406426</v>
      </c>
      <c r="Y2" s="226"/>
    </row>
    <row r="3" spans="1:25" s="47" customFormat="1" ht="78.75" x14ac:dyDescent="0.25">
      <c r="A3" s="213" t="s">
        <v>192</v>
      </c>
      <c r="B3" s="265" t="s">
        <v>72</v>
      </c>
      <c r="C3" s="471" t="s">
        <v>193</v>
      </c>
      <c r="D3" s="471" t="s">
        <v>193</v>
      </c>
      <c r="E3" s="471" t="s">
        <v>193</v>
      </c>
      <c r="F3" s="471" t="s">
        <v>193</v>
      </c>
      <c r="G3" s="266" t="s">
        <v>194</v>
      </c>
      <c r="H3" s="471" t="s">
        <v>195</v>
      </c>
      <c r="I3" s="471" t="s">
        <v>196</v>
      </c>
      <c r="J3" s="471" t="s">
        <v>197</v>
      </c>
      <c r="K3" s="471" t="s">
        <v>198</v>
      </c>
      <c r="L3" s="471" t="s">
        <v>199</v>
      </c>
      <c r="M3" s="471" t="s">
        <v>200</v>
      </c>
      <c r="N3" s="477" t="s">
        <v>201</v>
      </c>
      <c r="O3" s="477" t="s">
        <v>201</v>
      </c>
      <c r="P3" s="477" t="s">
        <v>201</v>
      </c>
      <c r="Q3" s="477" t="s">
        <v>201</v>
      </c>
      <c r="R3" s="267" t="s">
        <v>194</v>
      </c>
      <c r="S3" s="477" t="s">
        <v>202</v>
      </c>
      <c r="T3" s="477" t="s">
        <v>203</v>
      </c>
      <c r="U3" s="477" t="s">
        <v>204</v>
      </c>
      <c r="V3" s="477" t="s">
        <v>205</v>
      </c>
      <c r="W3" s="477" t="s">
        <v>206</v>
      </c>
      <c r="X3" s="477" t="s">
        <v>207</v>
      </c>
      <c r="Y3" s="213" t="s">
        <v>192</v>
      </c>
    </row>
    <row r="4" spans="1:25" x14ac:dyDescent="0.25">
      <c r="A4" s="206">
        <v>10</v>
      </c>
      <c r="B4" s="268">
        <v>3</v>
      </c>
      <c r="C4" s="269">
        <v>11.491026282310486</v>
      </c>
      <c r="D4" s="269">
        <v>13.333425760269165</v>
      </c>
      <c r="E4" s="269">
        <v>13.85834801197052</v>
      </c>
      <c r="F4" s="269">
        <v>12.646747231483459</v>
      </c>
      <c r="G4" s="252">
        <v>4</v>
      </c>
      <c r="H4" s="270">
        <f>IF(G4&gt;0,AVERAGE(C4:F4),"")</f>
        <v>12.832386821508408</v>
      </c>
      <c r="I4" s="269">
        <f>IF(G4&gt;0,MIN(C4:F4),"")</f>
        <v>11.491026282310486</v>
      </c>
      <c r="J4" s="269">
        <f>IF(G4&gt;0,MAX(C4:F4),"")</f>
        <v>13.85834801197052</v>
      </c>
      <c r="K4" s="269">
        <f>IF(G4&gt;0,J4-I4,"")</f>
        <v>2.3673217296600342</v>
      </c>
      <c r="L4" s="269">
        <f>IF(G4&gt;0,_xlfn.VAR.P(C4:F4),"")</f>
        <v>0.78433663399772779</v>
      </c>
      <c r="M4" s="269">
        <f>IF(G4&gt;0,_xlfn.STDEV.P(C4:F4),"")</f>
        <v>0.88562781911914201</v>
      </c>
      <c r="N4" s="271">
        <v>11.949925323477167</v>
      </c>
      <c r="O4" s="271">
        <v>14.66911067014043</v>
      </c>
      <c r="P4" s="271">
        <v>14.688685055324356</v>
      </c>
      <c r="Q4" s="271">
        <v>11.86863165560206</v>
      </c>
      <c r="R4" s="255">
        <f>G4</f>
        <v>4</v>
      </c>
      <c r="S4" s="272">
        <f>IF(R4&gt;0,AVERAGE(N4:Q4),"")</f>
        <v>13.294088176136004</v>
      </c>
      <c r="T4" s="271">
        <f>IF(R4&gt;0,MIN(N4:Q4),"")</f>
        <v>11.86863165560206</v>
      </c>
      <c r="U4" s="271">
        <f>IF(R4&gt;0,MAX(N4:Q4),"")</f>
        <v>14.688685055324356</v>
      </c>
      <c r="V4" s="271">
        <f>IF(R4&gt;0,U4-T4,"")</f>
        <v>2.8200533997222959</v>
      </c>
      <c r="W4" s="271">
        <f>IF(R4&gt;0,_xlfn.VAR.P(N4:Q4),"")</f>
        <v>1.9185718452151832</v>
      </c>
      <c r="X4" s="271">
        <f>IF(R4&gt;0,_xlfn.STDEV.P(N4:Q4),"")</f>
        <v>1.3851252092194348</v>
      </c>
      <c r="Y4" s="206">
        <v>10</v>
      </c>
    </row>
    <row r="5" spans="1:25" x14ac:dyDescent="0.25">
      <c r="A5" s="206">
        <v>9</v>
      </c>
      <c r="B5" s="268">
        <v>8</v>
      </c>
      <c r="C5" s="269">
        <v>13.569050073623657</v>
      </c>
      <c r="D5" s="269">
        <v>13.103827238082886</v>
      </c>
      <c r="E5" s="269">
        <v>16.476556539535522</v>
      </c>
      <c r="F5" s="269">
        <v>11.94420599937439</v>
      </c>
      <c r="G5" s="252">
        <v>4</v>
      </c>
      <c r="H5" s="270">
        <f>IF(G5&gt;0,AVERAGE(C5:F5),"")</f>
        <v>13.773409962654114</v>
      </c>
      <c r="I5" s="269">
        <f>IF(G5&gt;0,MIN(C5:F5),"")</f>
        <v>11.94420599937439</v>
      </c>
      <c r="J5" s="269">
        <f>IF(G5&gt;0,MAX(C5:F5),"")</f>
        <v>16.476556539535522</v>
      </c>
      <c r="K5" s="269">
        <f>IF(G5&gt;0,J5-I5,"")</f>
        <v>4.5323505401611328</v>
      </c>
      <c r="L5" s="269">
        <f>IF(G5&gt;0,_xlfn.VAR.P(C5:F5),"")</f>
        <v>2.7857731361681886</v>
      </c>
      <c r="M5" s="269">
        <f>IF(G5&gt;0,_xlfn.STDEV.P(C5:F5),"")</f>
        <v>1.6690635506679152</v>
      </c>
      <c r="N5" s="271">
        <v>13.865999458838292</v>
      </c>
      <c r="O5" s="271">
        <v>12.524300059714683</v>
      </c>
      <c r="P5" s="271">
        <v>16.293667935996272</v>
      </c>
      <c r="Q5" s="271">
        <v>11.284243706296564</v>
      </c>
      <c r="R5" s="255">
        <f>G5</f>
        <v>4</v>
      </c>
      <c r="S5" s="272">
        <f>IF(R5&gt;0,AVERAGE(N5:Q5),"")</f>
        <v>13.492052790211453</v>
      </c>
      <c r="T5" s="271">
        <f>IF(R5&gt;0,MIN(N5:Q5),"")</f>
        <v>11.284243706296564</v>
      </c>
      <c r="U5" s="271">
        <f>IF(R5&gt;0,MAX(N5:Q5),"")</f>
        <v>16.293667935996272</v>
      </c>
      <c r="V5" s="271">
        <f>IF(R5&gt;0,U5-T5,"")</f>
        <v>5.0094242296997074</v>
      </c>
      <c r="W5" s="271">
        <f>IF(R5&gt;0,_xlfn.VAR.P(N5:Q5),"")</f>
        <v>3.4499624586172501</v>
      </c>
      <c r="X5" s="271">
        <f>IF(R5&gt;0,_xlfn.STDEV.P(N5:Q5),"")</f>
        <v>1.8574074562726537</v>
      </c>
      <c r="Y5" s="206">
        <v>9</v>
      </c>
    </row>
    <row r="6" spans="1:25" x14ac:dyDescent="0.25">
      <c r="A6" s="206">
        <v>8</v>
      </c>
      <c r="B6" s="268">
        <v>7</v>
      </c>
      <c r="C6" s="269">
        <v>14.619247317314148</v>
      </c>
      <c r="D6" s="269">
        <v>13.145555853843689</v>
      </c>
      <c r="E6" s="269">
        <v>13.556633353233337</v>
      </c>
      <c r="F6" s="269">
        <v>11.378825545310974</v>
      </c>
      <c r="G6" s="252">
        <v>4</v>
      </c>
      <c r="H6" s="270">
        <f>IF(G6&gt;0,AVERAGE(C6:F6),"")</f>
        <v>13.175065517425537</v>
      </c>
      <c r="I6" s="269">
        <f>IF(G6&gt;0,MIN(C6:F6),"")</f>
        <v>11.378825545310974</v>
      </c>
      <c r="J6" s="269">
        <f>IF(G6&gt;0,MAX(C6:F6),"")</f>
        <v>14.619247317314148</v>
      </c>
      <c r="K6" s="269">
        <f>IF(G6&gt;0,J6-I6,"")</f>
        <v>3.2404217720031738</v>
      </c>
      <c r="L6" s="269">
        <f>IF(G6&gt;0,_xlfn.VAR.P(C6:F6),"")</f>
        <v>1.364650985529849</v>
      </c>
      <c r="M6" s="269">
        <f>IF(G6&gt;0,_xlfn.STDEV.P(C6:F6),"")</f>
        <v>1.1681827706013512</v>
      </c>
      <c r="N6" s="271">
        <v>15.109001157237794</v>
      </c>
      <c r="O6" s="271">
        <v>14.273686191355791</v>
      </c>
      <c r="P6" s="271">
        <v>14.574715989547711</v>
      </c>
      <c r="Q6" s="271">
        <v>10.362354284927566</v>
      </c>
      <c r="R6" s="255">
        <f>G6</f>
        <v>4</v>
      </c>
      <c r="S6" s="272">
        <f>IF(R6&gt;0,AVERAGE(N6:Q6),"")</f>
        <v>13.579939405767217</v>
      </c>
      <c r="T6" s="271">
        <f>IF(R6&gt;0,MIN(N6:Q6),"")</f>
        <v>10.362354284927566</v>
      </c>
      <c r="U6" s="271">
        <f>IF(R6&gt;0,MAX(N6:Q6),"")</f>
        <v>15.109001157237794</v>
      </c>
      <c r="V6" s="271">
        <f>IF(R6&gt;0,U6-T6,"")</f>
        <v>4.7466468723102277</v>
      </c>
      <c r="W6" s="271">
        <f>IF(R6&gt;0,_xlfn.VAR.P(N6:Q6),"")</f>
        <v>3.5404372259528429</v>
      </c>
      <c r="X6" s="271">
        <f>IF(R6&gt;0,_xlfn.STDEV.P(N6:Q6),"")</f>
        <v>1.8816049601212372</v>
      </c>
      <c r="Y6" s="206">
        <v>8</v>
      </c>
    </row>
    <row r="7" spans="1:25" x14ac:dyDescent="0.25">
      <c r="A7" s="206">
        <v>7</v>
      </c>
      <c r="B7" s="268">
        <v>10</v>
      </c>
      <c r="C7" s="269">
        <v>13.034532785415649</v>
      </c>
      <c r="D7" s="269">
        <v>14.316948533058167</v>
      </c>
      <c r="E7" s="269">
        <v>13.321283340454102</v>
      </c>
      <c r="F7" s="269">
        <v>13.980556011199951</v>
      </c>
      <c r="G7" s="252">
        <v>4</v>
      </c>
      <c r="H7" s="270">
        <f>IF(G7&gt;0,AVERAGE(C7:F7),"")</f>
        <v>13.663330167531967</v>
      </c>
      <c r="I7" s="269">
        <f>IF(G7&gt;0,MIN(C7:F7),"")</f>
        <v>13.034532785415649</v>
      </c>
      <c r="J7" s="269">
        <f>IF(G7&gt;0,MAX(C7:F7),"")</f>
        <v>14.316948533058167</v>
      </c>
      <c r="K7" s="269">
        <f>IF(G7&gt;0,J7-I7,"")</f>
        <v>1.2824157476425171</v>
      </c>
      <c r="L7" s="269">
        <f>IF(G7&gt;0,_xlfn.VAR.P(C7:F7),"")</f>
        <v>0.26005784582859359</v>
      </c>
      <c r="M7" s="269">
        <f>IF(G7&gt;0,_xlfn.STDEV.P(C7:F7),"")</f>
        <v>0.50995867070635592</v>
      </c>
      <c r="N7" s="271">
        <v>12.941582482906886</v>
      </c>
      <c r="O7" s="271">
        <v>14.488507050588886</v>
      </c>
      <c r="P7" s="271">
        <v>12.278749324227013</v>
      </c>
      <c r="Q7" s="271">
        <v>15.436304791209581</v>
      </c>
      <c r="R7" s="255">
        <f>G7</f>
        <v>4</v>
      </c>
      <c r="S7" s="272">
        <f>IF(R7&gt;0,AVERAGE(N7:Q7),"")</f>
        <v>13.786285912233092</v>
      </c>
      <c r="T7" s="271">
        <f>IF(R7&gt;0,MIN(N7:Q7),"")</f>
        <v>12.278749324227013</v>
      </c>
      <c r="U7" s="271">
        <f>IF(R7&gt;0,MAX(N7:Q7),"")</f>
        <v>15.436304791209581</v>
      </c>
      <c r="V7" s="271">
        <f>IF(R7&gt;0,U7-T7,"")</f>
        <v>3.1575554669825685</v>
      </c>
      <c r="W7" s="271">
        <f>IF(R7&gt;0,_xlfn.VAR.P(N7:Q7),"")</f>
        <v>1.55046681895625</v>
      </c>
      <c r="X7" s="271">
        <f>IF(R7&gt;0,_xlfn.STDEV.P(N7:Q7),"")</f>
        <v>1.2451774246894496</v>
      </c>
      <c r="Y7" s="206">
        <v>7</v>
      </c>
    </row>
    <row r="8" spans="1:25" x14ac:dyDescent="0.25">
      <c r="A8" s="206">
        <v>6</v>
      </c>
      <c r="B8" s="268">
        <v>1</v>
      </c>
      <c r="C8" s="269">
        <v>12.798726081848145</v>
      </c>
      <c r="D8" s="269">
        <v>14.125753283500671</v>
      </c>
      <c r="E8" s="269">
        <v>13.560582518577576</v>
      </c>
      <c r="F8" s="269">
        <v>13.882032990455627</v>
      </c>
      <c r="G8" s="252">
        <v>4</v>
      </c>
      <c r="H8" s="270">
        <f>IF(G8&gt;0,AVERAGE(C8:F8),"")</f>
        <v>13.591773718595505</v>
      </c>
      <c r="I8" s="269">
        <f>IF(G8&gt;0,MIN(C8:F8),"")</f>
        <v>12.798726081848145</v>
      </c>
      <c r="J8" s="269">
        <f>IF(G8&gt;0,MAX(C8:F8),"")</f>
        <v>14.125753283500671</v>
      </c>
      <c r="K8" s="269">
        <f>IF(G8&gt;0,J8-I8,"")</f>
        <v>1.3270272016525269</v>
      </c>
      <c r="L8" s="269">
        <f>IF(G8&gt;0,_xlfn.VAR.P(C8:F8),"")</f>
        <v>0.24982051643655279</v>
      </c>
      <c r="M8" s="269">
        <f>IF(G8&gt;0,_xlfn.STDEV.P(C8:F8),"")</f>
        <v>0.49982048421063413</v>
      </c>
      <c r="N8" s="271">
        <v>12.635516105780455</v>
      </c>
      <c r="O8" s="271">
        <v>14.799123627008054</v>
      </c>
      <c r="P8" s="271">
        <v>15.550774438997539</v>
      </c>
      <c r="Q8" s="271">
        <v>13.488737193013769</v>
      </c>
      <c r="R8" s="255">
        <f>G8</f>
        <v>4</v>
      </c>
      <c r="S8" s="272">
        <f>IF(R8&gt;0,AVERAGE(N8:Q8),"")</f>
        <v>14.118537841199954</v>
      </c>
      <c r="T8" s="271">
        <f>IF(R8&gt;0,MIN(N8:Q8),"")</f>
        <v>12.635516105780455</v>
      </c>
      <c r="U8" s="271">
        <f>IF(R8&gt;0,MAX(N8:Q8),"")</f>
        <v>15.550774438997539</v>
      </c>
      <c r="V8" s="271">
        <f>IF(R8&gt;0,U8-T8,"")</f>
        <v>2.9152583332170838</v>
      </c>
      <c r="W8" s="271">
        <f>IF(R8&gt;0,_xlfn.VAR.P(N8:Q8),"")</f>
        <v>1.2776252520243079</v>
      </c>
      <c r="X8" s="271">
        <f>IF(R8&gt;0,_xlfn.STDEV.P(N8:Q8),"")</f>
        <v>1.1303208624210683</v>
      </c>
      <c r="Y8" s="206">
        <v>6</v>
      </c>
    </row>
    <row r="9" spans="1:25" x14ac:dyDescent="0.25">
      <c r="A9" s="206">
        <v>5</v>
      </c>
      <c r="B9" s="268">
        <v>2</v>
      </c>
      <c r="C9" s="269">
        <v>12.044686079025269</v>
      </c>
      <c r="D9" s="269">
        <v>12.942331433296204</v>
      </c>
      <c r="E9" s="269">
        <v>16.525860667228699</v>
      </c>
      <c r="F9" s="269">
        <v>13.234484910964966</v>
      </c>
      <c r="G9" s="252">
        <v>4</v>
      </c>
      <c r="H9" s="270">
        <f>IF(G9&gt;0,AVERAGE(C9:F9),"")</f>
        <v>13.686840772628784</v>
      </c>
      <c r="I9" s="269">
        <f>IF(G9&gt;0,MIN(C9:F9),"")</f>
        <v>12.044686079025269</v>
      </c>
      <c r="J9" s="269">
        <f>IF(G9&gt;0,MAX(C9:F9),"")</f>
        <v>16.525860667228699</v>
      </c>
      <c r="K9" s="269">
        <f>IF(G9&gt;0,J9-I9,"")</f>
        <v>4.4811745882034302</v>
      </c>
      <c r="L9" s="269">
        <f>IF(G9&gt;0,_xlfn.VAR.P(C9:F9),"")</f>
        <v>2.8789064953982688</v>
      </c>
      <c r="M9" s="269">
        <f>IF(G9&gt;0,_xlfn.STDEV.P(C9:F9),"")</f>
        <v>1.6967340673771683</v>
      </c>
      <c r="N9" s="271">
        <v>11.250074620221429</v>
      </c>
      <c r="O9" s="271">
        <v>14.157904044213893</v>
      </c>
      <c r="P9" s="271">
        <v>16.218680023280495</v>
      </c>
      <c r="Q9" s="271">
        <v>14.869643303809543</v>
      </c>
      <c r="R9" s="255">
        <f>G9</f>
        <v>4</v>
      </c>
      <c r="S9" s="272">
        <f>IF(R9&gt;0,AVERAGE(N9:Q9),"")</f>
        <v>14.124075497881339</v>
      </c>
      <c r="T9" s="271">
        <f>IF(R9&gt;0,MIN(N9:Q9),"")</f>
        <v>11.250074620221429</v>
      </c>
      <c r="U9" s="271">
        <f>IF(R9&gt;0,MAX(N9:Q9),"")</f>
        <v>16.218680023280495</v>
      </c>
      <c r="V9" s="271">
        <f>IF(R9&gt;0,U9-T9,"")</f>
        <v>4.9686054030590654</v>
      </c>
      <c r="W9" s="271">
        <f>IF(R9&gt;0,_xlfn.VAR.P(N9:Q9),"")</f>
        <v>3.3010662215990578</v>
      </c>
      <c r="X9" s="271">
        <f>IF(R9&gt;0,_xlfn.STDEV.P(N9:Q9),"")</f>
        <v>1.8168836565941855</v>
      </c>
      <c r="Y9" s="206">
        <v>5</v>
      </c>
    </row>
    <row r="10" spans="1:25" x14ac:dyDescent="0.25">
      <c r="A10" s="206">
        <v>4</v>
      </c>
      <c r="B10" s="268">
        <v>4</v>
      </c>
      <c r="C10" s="269">
        <v>12.71832287311554</v>
      </c>
      <c r="D10" s="269">
        <v>16.046010732650757</v>
      </c>
      <c r="E10" s="269">
        <v>14.283855438232422</v>
      </c>
      <c r="F10" s="269">
        <v>12.553608417510986</v>
      </c>
      <c r="G10" s="252">
        <v>4</v>
      </c>
      <c r="H10" s="270">
        <f>IF(G10&gt;0,AVERAGE(C10:F10),"")</f>
        <v>13.900449365377426</v>
      </c>
      <c r="I10" s="269">
        <f>IF(G10&gt;0,MIN(C10:F10),"")</f>
        <v>12.553608417510986</v>
      </c>
      <c r="J10" s="269">
        <f>IF(G10&gt;0,MAX(C10:F10),"")</f>
        <v>16.046010732650757</v>
      </c>
      <c r="K10" s="269">
        <f>IF(G10&gt;0,J10-I10,"")</f>
        <v>3.4924023151397705</v>
      </c>
      <c r="L10" s="269">
        <f>IF(G10&gt;0,_xlfn.VAR.P(C10:F10),"")</f>
        <v>1.9904593449987544</v>
      </c>
      <c r="M10" s="269">
        <f>IF(G10&gt;0,_xlfn.STDEV.P(C10:F10),"")</f>
        <v>1.4108363990905375</v>
      </c>
      <c r="N10" s="271">
        <v>13.705511620554597</v>
      </c>
      <c r="O10" s="271">
        <v>15.891839286535483</v>
      </c>
      <c r="P10" s="271">
        <v>14.252752914099592</v>
      </c>
      <c r="Q10" s="271">
        <v>12.939009595820007</v>
      </c>
      <c r="R10" s="255">
        <f>G10</f>
        <v>4</v>
      </c>
      <c r="S10" s="272">
        <f>IF(R10&gt;0,AVERAGE(N10:Q10),"")</f>
        <v>14.197278354252422</v>
      </c>
      <c r="T10" s="271">
        <f>IF(R10&gt;0,MIN(N10:Q10),"")</f>
        <v>12.939009595820007</v>
      </c>
      <c r="U10" s="271">
        <f>IF(R10&gt;0,MAX(N10:Q10),"")</f>
        <v>15.891839286535483</v>
      </c>
      <c r="V10" s="271">
        <f>IF(R10&gt;0,U10-T10,"")</f>
        <v>2.9528296907154754</v>
      </c>
      <c r="W10" s="271">
        <f>IF(R10&gt;0,_xlfn.VAR.P(N10:Q10),"")</f>
        <v>1.1749222422072876</v>
      </c>
      <c r="X10" s="271">
        <f>IF(R10&gt;0,_xlfn.STDEV.P(N10:Q10),"")</f>
        <v>1.0839383018453068</v>
      </c>
      <c r="Y10" s="206">
        <v>4</v>
      </c>
    </row>
    <row r="11" spans="1:25" x14ac:dyDescent="0.25">
      <c r="A11" s="206">
        <v>3</v>
      </c>
      <c r="B11" s="268">
        <v>5</v>
      </c>
      <c r="C11" s="269">
        <v>16.130624294281006</v>
      </c>
      <c r="D11" s="269">
        <v>15.250033378601074</v>
      </c>
      <c r="E11" s="269">
        <v>13.174534440040588</v>
      </c>
      <c r="F11" s="269">
        <v>13.738005757331848</v>
      </c>
      <c r="G11" s="252">
        <v>4</v>
      </c>
      <c r="H11" s="270">
        <f>IF(G11&gt;0,AVERAGE(C11:F11),"")</f>
        <v>14.573299467563629</v>
      </c>
      <c r="I11" s="269">
        <f>IF(G11&gt;0,MIN(C11:F11),"")</f>
        <v>13.174534440040588</v>
      </c>
      <c r="J11" s="269">
        <f>IF(G11&gt;0,MAX(C11:F11),"")</f>
        <v>16.130624294281006</v>
      </c>
      <c r="K11" s="269">
        <f>IF(G11&gt;0,J11-I11,"")</f>
        <v>2.9560898542404175</v>
      </c>
      <c r="L11" s="269">
        <f>IF(G11&gt;0,_xlfn.VAR.P(C11:F11),"")</f>
        <v>1.3843721467081629</v>
      </c>
      <c r="M11" s="269">
        <f>IF(G11&gt;0,_xlfn.STDEV.P(C11:F11),"")</f>
        <v>1.17659345005323</v>
      </c>
      <c r="N11" s="271">
        <v>16.882627483577625</v>
      </c>
      <c r="O11" s="271">
        <v>14.657708927790154</v>
      </c>
      <c r="P11" s="271">
        <v>15.151080879535369</v>
      </c>
      <c r="Q11" s="271">
        <v>13.581382843862899</v>
      </c>
      <c r="R11" s="255">
        <f>G11</f>
        <v>4</v>
      </c>
      <c r="S11" s="272">
        <f>IF(R11&gt;0,AVERAGE(N11:Q11),"")</f>
        <v>15.068200033691511</v>
      </c>
      <c r="T11" s="271">
        <f>IF(R11&gt;0,MIN(N11:Q11),"")</f>
        <v>13.581382843862899</v>
      </c>
      <c r="U11" s="271">
        <f>IF(R11&gt;0,MAX(N11:Q11),"")</f>
        <v>16.882627483577625</v>
      </c>
      <c r="V11" s="271">
        <f>IF(R11&gt;0,U11-T11,"")</f>
        <v>3.3012446397147261</v>
      </c>
      <c r="W11" s="271">
        <f>IF(R11&gt;0,_xlfn.VAR.P(N11:Q11),"")</f>
        <v>1.4195361273754976</v>
      </c>
      <c r="X11" s="271">
        <f>IF(R11&gt;0,_xlfn.STDEV.P(N11:Q11),"")</f>
        <v>1.1914428762536196</v>
      </c>
      <c r="Y11" s="206">
        <v>3</v>
      </c>
    </row>
    <row r="12" spans="1:25" x14ac:dyDescent="0.25">
      <c r="A12" s="206">
        <v>2</v>
      </c>
      <c r="B12" s="268">
        <v>9</v>
      </c>
      <c r="C12" s="269">
        <v>13.93198549747467</v>
      </c>
      <c r="D12" s="269">
        <v>14.335835576057434</v>
      </c>
      <c r="E12" s="269">
        <v>14.779106974601746</v>
      </c>
      <c r="F12" s="269">
        <v>16.187642335891724</v>
      </c>
      <c r="G12" s="252">
        <v>4</v>
      </c>
      <c r="H12" s="270">
        <f>IF(G12&gt;0,AVERAGE(C12:F12),"")</f>
        <v>14.808642596006393</v>
      </c>
      <c r="I12" s="269">
        <f>IF(G12&gt;0,MIN(C12:F12),"")</f>
        <v>13.93198549747467</v>
      </c>
      <c r="J12" s="269">
        <f>IF(G12&gt;0,MAX(C12:F12),"")</f>
        <v>16.187642335891724</v>
      </c>
      <c r="K12" s="269">
        <f>IF(G12&gt;0,J12-I12,"")</f>
        <v>2.2556568384170532</v>
      </c>
      <c r="L12" s="269">
        <f>IF(G12&gt;0,_xlfn.VAR.P(C12:F12),"")</f>
        <v>0.72364669551366045</v>
      </c>
      <c r="M12" s="269">
        <f>IF(G12&gt;0,_xlfn.STDEV.P(C12:F12),"")</f>
        <v>0.85067425934587937</v>
      </c>
      <c r="N12" s="271">
        <v>15.336424864210748</v>
      </c>
      <c r="O12" s="271">
        <v>15.036405920493428</v>
      </c>
      <c r="P12" s="271">
        <v>14.070494485893663</v>
      </c>
      <c r="Q12" s="271">
        <v>16.752210522499396</v>
      </c>
      <c r="R12" s="255">
        <f>G12</f>
        <v>4</v>
      </c>
      <c r="S12" s="272">
        <f>IF(R12&gt;0,AVERAGE(N12:Q12),"")</f>
        <v>15.298883948274309</v>
      </c>
      <c r="T12" s="271">
        <f>IF(R12&gt;0,MIN(N12:Q12),"")</f>
        <v>14.070494485893663</v>
      </c>
      <c r="U12" s="271">
        <f>IF(R12&gt;0,MAX(N12:Q12),"")</f>
        <v>16.752210522499396</v>
      </c>
      <c r="V12" s="271">
        <f>IF(R12&gt;0,U12-T12,"")</f>
        <v>2.6817160366057333</v>
      </c>
      <c r="W12" s="271">
        <f>IF(R12&gt;0,_xlfn.VAR.P(N12:Q12),"")</f>
        <v>0.92285070951843218</v>
      </c>
      <c r="X12" s="271">
        <f>IF(R12&gt;0,_xlfn.STDEV.P(N12:Q12),"")</f>
        <v>0.96065119034873014</v>
      </c>
      <c r="Y12" s="206">
        <v>2</v>
      </c>
    </row>
    <row r="13" spans="1:25" x14ac:dyDescent="0.25">
      <c r="A13" s="206">
        <v>1</v>
      </c>
      <c r="B13" s="268">
        <v>6</v>
      </c>
      <c r="C13" s="269">
        <v>16.065630793571472</v>
      </c>
      <c r="D13" s="269">
        <v>16.782595157623291</v>
      </c>
      <c r="E13" s="269">
        <v>14.674603939056396</v>
      </c>
      <c r="F13" s="269">
        <v>14.965378761291504</v>
      </c>
      <c r="G13" s="252">
        <v>4</v>
      </c>
      <c r="H13" s="270">
        <f>IF(G13&gt;0,AVERAGE(C13:F13),"")</f>
        <v>15.622052162885666</v>
      </c>
      <c r="I13" s="269">
        <f>IF(G13&gt;0,MIN(C13:F13),"")</f>
        <v>14.674603939056396</v>
      </c>
      <c r="J13" s="269">
        <f>IF(G13&gt;0,MAX(C13:F13),"")</f>
        <v>16.782595157623291</v>
      </c>
      <c r="K13" s="269">
        <f>IF(G13&gt;0,J13-I13,"")</f>
        <v>2.1079912185668945</v>
      </c>
      <c r="L13" s="269">
        <f>IF(G13&gt;0,_xlfn.VAR.P(C13:F13),"")</f>
        <v>0.71812503435853881</v>
      </c>
      <c r="M13" s="269">
        <f>IF(G13&gt;0,_xlfn.STDEV.P(C13:F13),"")</f>
        <v>0.84742258310629104</v>
      </c>
      <c r="N13" s="271">
        <v>15.848998302898863</v>
      </c>
      <c r="O13" s="271">
        <v>16.09061344806172</v>
      </c>
      <c r="P13" s="271">
        <v>14.71536286986154</v>
      </c>
      <c r="Q13" s="271">
        <v>17.03100305582813</v>
      </c>
      <c r="R13" s="255">
        <f>G13</f>
        <v>4</v>
      </c>
      <c r="S13" s="272">
        <f>IF(R13&gt;0,AVERAGE(N13:Q13),"")</f>
        <v>15.921494419162563</v>
      </c>
      <c r="T13" s="271">
        <f>IF(R13&gt;0,MIN(N13:Q13),"")</f>
        <v>14.71536286986154</v>
      </c>
      <c r="U13" s="271">
        <f>IF(R13&gt;0,MAX(N13:Q13),"")</f>
        <v>17.03100305582813</v>
      </c>
      <c r="V13" s="271">
        <f>IF(R13&gt;0,U13-T13,"")</f>
        <v>2.3156401859665898</v>
      </c>
      <c r="W13" s="271">
        <f>IF(R13&gt;0,_xlfn.VAR.P(N13:Q13),"")</f>
        <v>0.6799049154659712</v>
      </c>
      <c r="X13" s="271">
        <f>IF(R13&gt;0,_xlfn.STDEV.P(N13:Q13),"")</f>
        <v>0.82456346964073735</v>
      </c>
      <c r="Y13" s="206">
        <v>1</v>
      </c>
    </row>
  </sheetData>
  <sortState xmlns:xlrd2="http://schemas.microsoft.com/office/spreadsheetml/2017/richdata2" ref="B4:X13">
    <sortCondition ref="S4:S13"/>
  </sortState>
  <mergeCells count="2">
    <mergeCell ref="C1:F1"/>
    <mergeCell ref="N1:Q1"/>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6843D-2C17-49AD-980A-D0D8ECE25A41}">
  <sheetPr codeName="Sheet3">
    <tabColor theme="5" tint="0.79998168889431442"/>
  </sheetPr>
  <dimension ref="A1:A5"/>
  <sheetViews>
    <sheetView zoomScale="145" zoomScaleNormal="145" workbookViewId="0">
      <selection activeCell="A10" sqref="A10:K10"/>
    </sheetView>
  </sheetViews>
  <sheetFormatPr defaultRowHeight="15" x14ac:dyDescent="0.25"/>
  <cols>
    <col min="1" max="1" width="127.5703125" bestFit="1" customWidth="1"/>
  </cols>
  <sheetData>
    <row r="1" spans="1:1" x14ac:dyDescent="0.25">
      <c r="A1" s="273" t="str">
        <f>"Thank you for your willingess to help evaluate the projects submitted to the " &amp; 'Competition Parameters'!C7</f>
        <v>Thank you for your willingess to help evaluate the projects submitted to the AN EXCITING PROGRAM/COMPETITION</v>
      </c>
    </row>
    <row r="2" spans="1:1" x14ac:dyDescent="0.25">
      <c r="A2" s="273" t="s">
        <v>208</v>
      </c>
    </row>
    <row r="3" spans="1:1" x14ac:dyDescent="0.25">
      <c r="A3" s="273" t="s">
        <v>209</v>
      </c>
    </row>
    <row r="4" spans="1:1" x14ac:dyDescent="0.25">
      <c r="A4" s="273" t="s">
        <v>210</v>
      </c>
    </row>
    <row r="5" spans="1:1" ht="30" x14ac:dyDescent="0.25">
      <c r="A5" s="274" t="s">
        <v>211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2CEBB-4E6B-4AAA-891F-69F5FE4F2F39}">
  <sheetPr codeName="Sheet24">
    <tabColor theme="5" tint="0.79998168889431442"/>
  </sheetPr>
  <dimension ref="A1:A4"/>
  <sheetViews>
    <sheetView zoomScale="145" zoomScaleNormal="145" workbookViewId="0">
      <selection activeCell="A10" sqref="A10:K10"/>
    </sheetView>
  </sheetViews>
  <sheetFormatPr defaultRowHeight="15" x14ac:dyDescent="0.25"/>
  <cols>
    <col min="1" max="1" width="134" customWidth="1"/>
  </cols>
  <sheetData>
    <row r="1" spans="1:1" x14ac:dyDescent="0.25">
      <c r="A1" s="273" t="str">
        <f>"Thank you for your willingess to help evaluate the projects submitted to the " &amp;'Competition Parameters'!C7</f>
        <v>Thank you for your willingess to help evaluate the projects submitted to the AN EXCITING PROGRAM/COMPETITION</v>
      </c>
    </row>
    <row r="2" spans="1:1" ht="75" x14ac:dyDescent="0.25">
      <c r="A2" s="274" t="s">
        <v>212</v>
      </c>
    </row>
    <row r="3" spans="1:1" x14ac:dyDescent="0.25">
      <c r="A3" s="275" t="str">
        <f>"For more information see: " &amp; 'Competition Parameters'!C9</f>
        <v xml:space="preserve">For more information see: </v>
      </c>
    </row>
    <row r="4" spans="1:1" x14ac:dyDescent="0.25">
      <c r="A4" s="276" t="s">
        <v>213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42473-FF48-4DE2-A4E4-D2BEB9C438E2}">
  <sheetPr codeName="Sheet11">
    <tabColor theme="5" tint="0.79998168889431442"/>
  </sheetPr>
  <dimension ref="A1:K11"/>
  <sheetViews>
    <sheetView zoomScale="85" zoomScaleNormal="85" workbookViewId="0">
      <pane ySplit="1" topLeftCell="A2" activePane="bottomLeft" state="frozen"/>
      <selection activeCell="A10" sqref="A10:K10"/>
      <selection pane="bottomLeft" activeCell="A10" sqref="A10:K10"/>
    </sheetView>
  </sheetViews>
  <sheetFormatPr defaultRowHeight="15" x14ac:dyDescent="0.25"/>
  <cols>
    <col min="1" max="1" width="5.140625" style="4" bestFit="1" customWidth="1"/>
    <col min="2" max="2" width="34.85546875" customWidth="1"/>
    <col min="3" max="3" width="32" customWidth="1"/>
    <col min="4" max="4" width="32.42578125" customWidth="1"/>
    <col min="5" max="5" width="40.7109375" customWidth="1"/>
    <col min="6" max="6" width="18.42578125" style="100" customWidth="1"/>
    <col min="7" max="7" width="20.85546875" style="100" customWidth="1"/>
    <col min="8" max="8" width="13.85546875" bestFit="1" customWidth="1"/>
    <col min="9" max="9" width="2.28515625" customWidth="1"/>
    <col min="11" max="11" width="22.85546875" customWidth="1"/>
    <col min="27" max="1002" width="9.140625" customWidth="1"/>
  </cols>
  <sheetData>
    <row r="1" spans="1:11" ht="142.5" customHeight="1" x14ac:dyDescent="0.25">
      <c r="A1" s="277" t="s">
        <v>72</v>
      </c>
      <c r="B1" s="278" t="str">
        <f>Projects!B2</f>
        <v>Project Name</v>
      </c>
      <c r="C1" s="278" t="str">
        <f>Projects!C2</f>
        <v>Contact Name</v>
      </c>
      <c r="D1" s="278" t="str">
        <f>Projects!D2</f>
        <v>Organization</v>
      </c>
      <c r="E1" s="278" t="str">
        <f>Projects!F2</f>
        <v>Description</v>
      </c>
      <c r="F1" s="70" t="s">
        <v>214</v>
      </c>
      <c r="G1" s="85" t="s">
        <v>215</v>
      </c>
      <c r="H1" s="80" t="s">
        <v>216</v>
      </c>
      <c r="I1" s="279"/>
      <c r="J1" s="79" t="s">
        <v>94</v>
      </c>
      <c r="K1" s="60"/>
    </row>
    <row r="2" spans="1:11" ht="30" x14ac:dyDescent="0.25">
      <c r="A2" s="60">
        <v>1</v>
      </c>
      <c r="B2" s="280" t="str">
        <f>Projects!B3</f>
        <v>Project 1</v>
      </c>
      <c r="C2" s="280" t="str">
        <f>IF(LEN(Projects!C3)&gt;0,Projects!C3,"")</f>
        <v/>
      </c>
      <c r="D2" s="281" t="str">
        <f>IF(LEN(Projects!D3)&gt;0,Projects!D3,"")</f>
        <v/>
      </c>
      <c r="E2" s="280" t="str">
        <f>IF(LEN(Projects!F3)&gt;0,Projects!F3,"")</f>
        <v/>
      </c>
      <c r="F2" s="282" t="str">
        <f>IF(LEN($K$1)&gt;0,IF(AND(LEN(D2)&gt;0,VLOOKUP($K$1,Markers!A:D,3,FALSE)='Marker Project - template'!D2),"SAME ORGANIZATION",IF(ISNA(VLOOKUP(A2,Projects!A:G,5,FALSE)),"",IF(VLOOKUP(A2,Projects!A:G,7,FALSE)='Marker Project - template'!$K$1,"MENTOR",""))),"")</f>
        <v/>
      </c>
      <c r="G2" s="283"/>
      <c r="H2" s="281" t="str">
        <f>IF(AND(G2&lt;&gt;"L",G2&lt;&gt;"M",G2&lt;&gt;"H",G2&lt;&gt;"X"),"Enter L, M or H","")</f>
        <v>Enter L, M or H</v>
      </c>
      <c r="J2" s="85" t="s">
        <v>95</v>
      </c>
      <c r="K2" s="284"/>
    </row>
    <row r="3" spans="1:11" x14ac:dyDescent="0.25">
      <c r="A3" s="60">
        <v>2</v>
      </c>
      <c r="B3" s="280" t="str">
        <f>Projects!B4</f>
        <v>Project 2</v>
      </c>
      <c r="C3" s="280" t="str">
        <f>IF(LEN(Projects!C4)&gt;0,Projects!C4,"")</f>
        <v/>
      </c>
      <c r="D3" s="281" t="str">
        <f>IF(LEN(Projects!D4)&gt;0,Projects!D4,"")</f>
        <v/>
      </c>
      <c r="E3" s="280" t="str">
        <f>IF(LEN(Projects!F4)&gt;0,Projects!F4,"")</f>
        <v/>
      </c>
      <c r="F3" s="282" t="str">
        <f>IF(LEN($K$1)&gt;0,IF(AND(LEN(D3)&gt;0,VLOOKUP($K$1,Markers!A:D,3,FALSE)='Marker Project - template'!D3),"SAME ORGANIZATION",IF(ISNA(VLOOKUP(A3,Projects!A:G,5,FALSE)),"",IF(VLOOKUP(A3,Projects!A:G,7,FALSE)='Marker Project - template'!$K$1,"MENTOR",""))),"")</f>
        <v/>
      </c>
      <c r="G3" s="283"/>
      <c r="H3" s="56"/>
    </row>
    <row r="4" spans="1:11" x14ac:dyDescent="0.25">
      <c r="A4" s="60">
        <v>3</v>
      </c>
      <c r="B4" s="280" t="str">
        <f>Projects!B5</f>
        <v>Project 3</v>
      </c>
      <c r="C4" s="280" t="str">
        <f>IF(LEN(Projects!C5)&gt;0,Projects!C5,"")</f>
        <v/>
      </c>
      <c r="D4" s="281" t="str">
        <f>IF(LEN(Projects!D5)&gt;0,Projects!D5,"")</f>
        <v/>
      </c>
      <c r="E4" s="280" t="str">
        <f>IF(LEN(Projects!F5)&gt;0,Projects!F5,"")</f>
        <v/>
      </c>
      <c r="F4" s="282" t="str">
        <f>IF(LEN($K$1)&gt;0,IF(AND(LEN(D4)&gt;0,VLOOKUP($K$1,Markers!A:D,3,FALSE)='Marker Project - template'!D4),"SAME ORGANIZATION",IF(ISNA(VLOOKUP(A4,Projects!A:G,5,FALSE)),"",IF(VLOOKUP(A4,Projects!A:G,7,FALSE)='Marker Project - template'!$K$1,"MENTOR",""))),"")</f>
        <v/>
      </c>
      <c r="G4" s="283"/>
    </row>
    <row r="5" spans="1:11" x14ac:dyDescent="0.25">
      <c r="A5" s="60">
        <v>4</v>
      </c>
      <c r="B5" s="280" t="str">
        <f>Projects!B6</f>
        <v>Project 4</v>
      </c>
      <c r="C5" s="280" t="str">
        <f>IF(LEN(Projects!C6)&gt;0,Projects!C6,"")</f>
        <v/>
      </c>
      <c r="D5" s="281" t="str">
        <f>IF(LEN(Projects!D6)&gt;0,Projects!D6,"")</f>
        <v/>
      </c>
      <c r="E5" s="280" t="str">
        <f>IF(LEN(Projects!F6)&gt;0,Projects!F6,"")</f>
        <v/>
      </c>
      <c r="F5" s="282" t="str">
        <f>IF(LEN($K$1)&gt;0,IF(AND(LEN(D5)&gt;0,VLOOKUP($K$1,Markers!A:D,3,FALSE)='Marker Project - template'!D5),"SAME ORGANIZATION",IF(ISNA(VLOOKUP(A5,Projects!A:G,5,FALSE)),"",IF(VLOOKUP(A5,Projects!A:G,7,FALSE)='Marker Project - template'!$K$1,"MENTOR",""))),"")</f>
        <v/>
      </c>
      <c r="G5" s="283"/>
    </row>
    <row r="6" spans="1:11" x14ac:dyDescent="0.25">
      <c r="A6" s="60">
        <v>5</v>
      </c>
      <c r="B6" s="280" t="str">
        <f>Projects!B7</f>
        <v>Project 5</v>
      </c>
      <c r="C6" s="280" t="str">
        <f>IF(LEN(Projects!C7)&gt;0,Projects!C7,"")</f>
        <v/>
      </c>
      <c r="D6" s="281" t="str">
        <f>IF(LEN(Projects!D7)&gt;0,Projects!D7,"")</f>
        <v/>
      </c>
      <c r="E6" s="280" t="str">
        <f>IF(LEN(Projects!F7)&gt;0,Projects!F7,"")</f>
        <v/>
      </c>
      <c r="F6" s="282" t="str">
        <f>IF(LEN($K$1)&gt;0,IF(AND(LEN(D6)&gt;0,VLOOKUP($K$1,Markers!A:D,3,FALSE)='Marker Project - template'!D6),"SAME ORGANIZATION",IF(ISNA(VLOOKUP(A6,Projects!A:G,5,FALSE)),"",IF(VLOOKUP(A6,Projects!A:G,7,FALSE)='Marker Project - template'!$K$1,"MENTOR",""))),"")</f>
        <v/>
      </c>
      <c r="G6" s="283"/>
    </row>
    <row r="7" spans="1:11" x14ac:dyDescent="0.25">
      <c r="A7" s="60">
        <v>6</v>
      </c>
      <c r="B7" s="280" t="str">
        <f>Projects!B8</f>
        <v>Project 6</v>
      </c>
      <c r="C7" s="280" t="str">
        <f>IF(LEN(Projects!C8)&gt;0,Projects!C8,"")</f>
        <v/>
      </c>
      <c r="D7" s="281" t="str">
        <f>IF(LEN(Projects!D8)&gt;0,Projects!D8,"")</f>
        <v/>
      </c>
      <c r="E7" s="280" t="str">
        <f>IF(LEN(Projects!F8)&gt;0,Projects!F8,"")</f>
        <v/>
      </c>
      <c r="F7" s="282" t="str">
        <f>IF(LEN($K$1)&gt;0,IF(AND(LEN(D7)&gt;0,VLOOKUP($K$1,Markers!A:D,3,FALSE)='Marker Project - template'!D7),"SAME ORGANIZATION",IF(ISNA(VLOOKUP(A7,Projects!A:G,5,FALSE)),"",IF(VLOOKUP(A7,Projects!A:G,7,FALSE)='Marker Project - template'!$K$1,"MENTOR",""))),"")</f>
        <v/>
      </c>
      <c r="G7" s="283"/>
    </row>
    <row r="8" spans="1:11" x14ac:dyDescent="0.25">
      <c r="A8" s="60">
        <v>7</v>
      </c>
      <c r="B8" s="280" t="str">
        <f>Projects!B9</f>
        <v>Project 7</v>
      </c>
      <c r="C8" s="280" t="str">
        <f>IF(LEN(Projects!C9)&gt;0,Projects!C9,"")</f>
        <v/>
      </c>
      <c r="D8" s="281" t="str">
        <f>IF(LEN(Projects!D9)&gt;0,Projects!D9,"")</f>
        <v/>
      </c>
      <c r="E8" s="280" t="str">
        <f>IF(LEN(Projects!F9)&gt;0,Projects!F9,"")</f>
        <v/>
      </c>
      <c r="F8" s="282" t="str">
        <f>IF(LEN($K$1)&gt;0,IF(AND(LEN(D8)&gt;0,VLOOKUP($K$1,Markers!A:D,3,FALSE)='Marker Project - template'!D8),"SAME ORGANIZATION",IF(ISNA(VLOOKUP(A8,Projects!A:G,5,FALSE)),"",IF(VLOOKUP(A8,Projects!A:G,7,FALSE)='Marker Project - template'!$K$1,"MENTOR",""))),"")</f>
        <v/>
      </c>
      <c r="G8" s="283"/>
    </row>
    <row r="9" spans="1:11" x14ac:dyDescent="0.25">
      <c r="A9" s="60">
        <v>8</v>
      </c>
      <c r="B9" s="280" t="str">
        <f>Projects!B10</f>
        <v>Project 8</v>
      </c>
      <c r="C9" s="280" t="str">
        <f>IF(LEN(Projects!C10)&gt;0,Projects!C10,"")</f>
        <v/>
      </c>
      <c r="D9" s="281" t="str">
        <f>IF(LEN(Projects!D10)&gt;0,Projects!D10,"")</f>
        <v/>
      </c>
      <c r="E9" s="280" t="str">
        <f>IF(LEN(Projects!F10)&gt;0,Projects!F10,"")</f>
        <v/>
      </c>
      <c r="F9" s="282" t="str">
        <f>IF(LEN($K$1)&gt;0,IF(AND(LEN(D9)&gt;0,VLOOKUP($K$1,Markers!A:D,3,FALSE)='Marker Project - template'!D9),"SAME ORGANIZATION",IF(ISNA(VLOOKUP(A9,Projects!A:G,5,FALSE)),"",IF(VLOOKUP(A9,Projects!A:G,7,FALSE)='Marker Project - template'!$K$1,"MENTOR",""))),"")</f>
        <v/>
      </c>
      <c r="G9" s="283"/>
    </row>
    <row r="10" spans="1:11" x14ac:dyDescent="0.25">
      <c r="A10" s="60">
        <v>9</v>
      </c>
      <c r="B10" s="280" t="str">
        <f>Projects!B11</f>
        <v>Project 9</v>
      </c>
      <c r="C10" s="280" t="str">
        <f>IF(LEN(Projects!C11)&gt;0,Projects!C11,"")</f>
        <v/>
      </c>
      <c r="D10" s="281" t="str">
        <f>IF(LEN(Projects!D11)&gt;0,Projects!D11,"")</f>
        <v/>
      </c>
      <c r="E10" s="280" t="str">
        <f>IF(LEN(Projects!F11)&gt;0,Projects!F11,"")</f>
        <v/>
      </c>
      <c r="F10" s="282" t="str">
        <f>IF(LEN($K$1)&gt;0,IF(AND(LEN(D10)&gt;0,VLOOKUP($K$1,Markers!A:D,3,FALSE)='Marker Project - template'!D10),"SAME ORGANIZATION",IF(ISNA(VLOOKUP(A10,Projects!A:G,5,FALSE)),"",IF(VLOOKUP(A10,Projects!A:G,7,FALSE)='Marker Project - template'!$K$1,"MENTOR",""))),"")</f>
        <v/>
      </c>
      <c r="G10" s="283"/>
    </row>
    <row r="11" spans="1:11" x14ac:dyDescent="0.25">
      <c r="A11" s="60">
        <v>10</v>
      </c>
      <c r="B11" s="280" t="str">
        <f>Projects!B12</f>
        <v>Project 10</v>
      </c>
      <c r="C11" s="280" t="str">
        <f>IF(LEN(Projects!C12)&gt;0,Projects!C12,"")</f>
        <v/>
      </c>
      <c r="D11" s="281" t="str">
        <f>IF(LEN(Projects!D12)&gt;0,Projects!D12,"")</f>
        <v/>
      </c>
      <c r="E11" s="280" t="str">
        <f>IF(LEN(Projects!F12)&gt;0,Projects!F12,"")</f>
        <v/>
      </c>
      <c r="F11" s="282" t="str">
        <f>IF(LEN($K$1)&gt;0,IF(AND(LEN(D11)&gt;0,VLOOKUP($K$1,Markers!A:D,3,FALSE)='Marker Project - template'!D11),"SAME ORGANIZATION",IF(ISNA(VLOOKUP(A11,Projects!A:G,5,FALSE)),"",IF(VLOOKUP(A11,Projects!A:G,7,FALSE)='Marker Project - template'!$K$1,"MENTOR",""))),"")</f>
        <v/>
      </c>
      <c r="G11" s="283"/>
    </row>
  </sheetData>
  <autoFilter ref="F1:G2" xr:uid="{2C882CF7-77D0-4BB2-911E-FEB4C8572A61}"/>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7EFB-34EC-4EBF-A27E-66B02B7CC0C2}">
  <sheetPr codeName="Sheet25">
    <tabColor theme="5" tint="0.79998168889431442"/>
  </sheetPr>
  <dimension ref="A1:F5"/>
  <sheetViews>
    <sheetView zoomScale="145" zoomScaleNormal="145" workbookViewId="0">
      <pane ySplit="1" topLeftCell="A2" activePane="bottomLeft" state="frozen"/>
      <selection activeCell="A10" sqref="A10:K10"/>
      <selection pane="bottomLeft" activeCell="A10" sqref="A10:K10"/>
    </sheetView>
  </sheetViews>
  <sheetFormatPr defaultColWidth="9.140625" defaultRowHeight="15" x14ac:dyDescent="0.25"/>
  <cols>
    <col min="1" max="1" width="14.5703125" style="4" customWidth="1"/>
    <col min="2" max="2" width="34.85546875" customWidth="1"/>
    <col min="3" max="3" width="34.28515625" style="100" customWidth="1"/>
    <col min="4" max="4" width="2.28515625" customWidth="1"/>
    <col min="5" max="5" width="18" customWidth="1"/>
    <col min="6" max="6" width="23" customWidth="1"/>
  </cols>
  <sheetData>
    <row r="1" spans="1:6" ht="60" x14ac:dyDescent="0.25">
      <c r="A1" s="285" t="s">
        <v>106</v>
      </c>
      <c r="B1" s="70" t="s">
        <v>217</v>
      </c>
      <c r="C1" s="286" t="s">
        <v>218</v>
      </c>
      <c r="D1" s="279"/>
      <c r="E1" s="85" t="s">
        <v>95</v>
      </c>
      <c r="F1" s="60"/>
    </row>
    <row r="2" spans="1:6" ht="15.75" customHeight="1" x14ac:dyDescent="0.25">
      <c r="A2" s="287">
        <v>1</v>
      </c>
      <c r="B2" s="287" t="str">
        <f>IF(Keywords!C3&gt;0,Keywords!C3,"")</f>
        <v>Keyword 1</v>
      </c>
      <c r="C2" s="283"/>
      <c r="D2" s="279"/>
      <c r="E2" s="79" t="s">
        <v>94</v>
      </c>
      <c r="F2" s="284"/>
    </row>
    <row r="3" spans="1:6" x14ac:dyDescent="0.25">
      <c r="A3" s="287">
        <v>2</v>
      </c>
      <c r="B3" s="287" t="str">
        <f>IF(Keywords!C4&gt;0,Keywords!C4,"")</f>
        <v>Keyword 2</v>
      </c>
      <c r="C3" s="283"/>
    </row>
    <row r="4" spans="1:6" x14ac:dyDescent="0.25">
      <c r="A4" s="287">
        <v>3</v>
      </c>
      <c r="B4" s="287" t="str">
        <f>IF(Keywords!C5&gt;0,Keywords!C5,"")</f>
        <v>Keyword 3</v>
      </c>
      <c r="C4" s="283"/>
    </row>
    <row r="5" spans="1:6" x14ac:dyDescent="0.25">
      <c r="A5" s="287">
        <v>4</v>
      </c>
      <c r="B5" s="287" t="str">
        <f>IF(Keywords!C6&gt;0,Keywords!C6,"")</f>
        <v>Keyword 4</v>
      </c>
      <c r="C5" s="283"/>
    </row>
  </sheetData>
  <autoFilter ref="C1:C5" xr:uid="{2C882CF7-77D0-4BB2-911E-FEB4C8572A6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C40A2-0F4A-4159-B624-E5CB519B2831}">
  <sheetPr codeName="Sheet29">
    <tabColor theme="5" tint="0.79998168889431442"/>
  </sheetPr>
  <dimension ref="A1:C9"/>
  <sheetViews>
    <sheetView zoomScale="130" zoomScaleNormal="130" workbookViewId="0">
      <pane ySplit="8" topLeftCell="A9" activePane="bottomLeft" state="frozen"/>
      <selection activeCell="A10" sqref="A10:K10"/>
      <selection pane="bottomLeft" activeCell="A10" sqref="A10:K10"/>
    </sheetView>
  </sheetViews>
  <sheetFormatPr defaultRowHeight="15" x14ac:dyDescent="0.25"/>
  <cols>
    <col min="1" max="1" width="14.42578125" customWidth="1"/>
    <col min="2" max="2" width="94.5703125" customWidth="1"/>
    <col min="3" max="3" width="30.42578125" customWidth="1"/>
  </cols>
  <sheetData>
    <row r="1" spans="1:3" x14ac:dyDescent="0.25">
      <c r="A1" s="408" t="str">
        <f>"Attached are score and comment sheets for submissions to  the "&amp;'Competition Parameters'!C7&amp;" competition."</f>
        <v>Attached are score and comment sheets for submissions to  the AN EXCITING PROGRAM/COMPETITION competition.</v>
      </c>
      <c r="B1" s="408"/>
      <c r="C1" s="408"/>
    </row>
    <row r="2" spans="1:3" ht="78" customHeight="1" x14ac:dyDescent="0.25">
      <c r="A2" s="409" t="s">
        <v>219</v>
      </c>
      <c r="B2" s="409"/>
      <c r="C2" s="409"/>
    </row>
    <row r="3" spans="1:3" ht="30" customHeight="1" x14ac:dyDescent="0.25">
      <c r="A3" s="409" t="s">
        <v>220</v>
      </c>
      <c r="B3" s="409"/>
      <c r="C3" s="409"/>
    </row>
    <row r="4" spans="1:3" x14ac:dyDescent="0.25">
      <c r="A4" s="410" t="str">
        <f>"For more information see: " &amp; 'Competition Parameters'!C9</f>
        <v xml:space="preserve">For more information see: </v>
      </c>
      <c r="B4" s="410"/>
      <c r="C4" s="410"/>
    </row>
    <row r="5" spans="1:3" x14ac:dyDescent="0.25">
      <c r="A5" s="411" t="s">
        <v>221</v>
      </c>
      <c r="B5" s="411"/>
      <c r="C5" s="411"/>
    </row>
    <row r="6" spans="1:3" ht="12" customHeight="1" x14ac:dyDescent="0.25">
      <c r="A6" s="29" t="s">
        <v>222</v>
      </c>
      <c r="B6" s="288">
        <f>COUNTIF(B8:B9,"&lt;&gt;"&amp;"")</f>
        <v>0</v>
      </c>
      <c r="C6" s="42"/>
    </row>
    <row r="7" spans="1:3" x14ac:dyDescent="0.25">
      <c r="A7" s="289" t="s">
        <v>223</v>
      </c>
      <c r="B7" s="290" t="s">
        <v>224</v>
      </c>
      <c r="C7" s="291" t="s">
        <v>225</v>
      </c>
    </row>
    <row r="8" spans="1:3" x14ac:dyDescent="0.25">
      <c r="A8" s="283"/>
      <c r="B8" s="292"/>
      <c r="C8" s="293"/>
    </row>
    <row r="9" spans="1:3" x14ac:dyDescent="0.25">
      <c r="A9" s="283"/>
      <c r="B9" s="292"/>
      <c r="C9" s="293"/>
    </row>
  </sheetData>
  <mergeCells count="5">
    <mergeCell ref="A1:C1"/>
    <mergeCell ref="A2:C2"/>
    <mergeCell ref="A3:C3"/>
    <mergeCell ref="A4:C4"/>
    <mergeCell ref="A5:C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85FF-1E6F-450B-AADB-EAC5AD17F12B}">
  <sheetPr codeName="Sheet8">
    <tabColor theme="5" tint="0.79998168889431442"/>
  </sheetPr>
  <dimension ref="A1:K46"/>
  <sheetViews>
    <sheetView topLeftCell="A7" zoomScale="145" zoomScaleNormal="145" workbookViewId="0">
      <selection activeCell="A10" sqref="A10:K10"/>
    </sheetView>
  </sheetViews>
  <sheetFormatPr defaultRowHeight="15" x14ac:dyDescent="0.25"/>
  <cols>
    <col min="1" max="1" width="17.28515625" customWidth="1"/>
    <col min="3" max="3" width="14" customWidth="1"/>
    <col min="5" max="5" width="11" bestFit="1" customWidth="1"/>
  </cols>
  <sheetData>
    <row r="1" spans="1:11" ht="18.75" x14ac:dyDescent="0.3">
      <c r="A1" s="180" t="s">
        <v>226</v>
      </c>
      <c r="B1" s="425" t="str">
        <f>'Competition Parameters'!C7</f>
        <v>AN EXCITING PROGRAM/COMPETITION</v>
      </c>
      <c r="C1" s="425"/>
      <c r="D1" s="425"/>
      <c r="E1" s="425"/>
      <c r="F1" s="425"/>
      <c r="G1" s="425"/>
      <c r="H1" s="150" t="s">
        <v>227</v>
      </c>
      <c r="I1" s="54"/>
      <c r="J1" s="54"/>
      <c r="K1" s="294"/>
    </row>
    <row r="2" spans="1:11" x14ac:dyDescent="0.25">
      <c r="A2" s="147" t="s">
        <v>95</v>
      </c>
      <c r="B2" s="426" t="e">
        <f>VLOOKUP(B3,Markers!A:B,2,FALSE)</f>
        <v>#N/A</v>
      </c>
      <c r="C2" s="427"/>
      <c r="D2" s="427"/>
      <c r="E2" s="427"/>
      <c r="F2" s="428"/>
      <c r="G2" s="429" t="s">
        <v>228</v>
      </c>
      <c r="H2" s="429"/>
      <c r="I2" s="429"/>
      <c r="J2" s="429"/>
      <c r="K2" s="430"/>
    </row>
    <row r="3" spans="1:11" ht="15.75" thickBot="1" x14ac:dyDescent="0.3">
      <c r="A3" s="295" t="s">
        <v>94</v>
      </c>
      <c r="B3" s="296"/>
      <c r="G3" s="431"/>
      <c r="H3" s="431"/>
      <c r="I3" s="431"/>
      <c r="J3" s="431"/>
      <c r="K3" s="432"/>
    </row>
    <row r="4" spans="1:11" ht="15.75" thickBot="1" x14ac:dyDescent="0.3">
      <c r="A4" s="297" t="s">
        <v>223</v>
      </c>
      <c r="B4" s="298"/>
      <c r="C4" s="299" t="s">
        <v>229</v>
      </c>
      <c r="D4" s="299"/>
      <c r="E4" s="298"/>
      <c r="F4" s="297"/>
      <c r="G4" s="297"/>
      <c r="H4" s="297"/>
      <c r="I4" s="297"/>
      <c r="J4" s="297"/>
      <c r="K4" s="297"/>
    </row>
    <row r="5" spans="1:11" ht="15.75" thickBot="1" x14ac:dyDescent="0.3">
      <c r="A5" s="300" t="s">
        <v>230</v>
      </c>
      <c r="B5" s="433" t="e">
        <f>VLOOKUP(B4,Projects!A:B,2,FALSE)</f>
        <v>#N/A</v>
      </c>
      <c r="C5" s="433"/>
      <c r="D5" s="433"/>
      <c r="E5" s="433"/>
      <c r="F5" s="433"/>
      <c r="G5" s="433"/>
      <c r="H5" s="433"/>
      <c r="I5" s="433"/>
      <c r="J5" s="433"/>
      <c r="K5" s="434"/>
    </row>
    <row r="6" spans="1:11" ht="15.75" thickBot="1" x14ac:dyDescent="0.3">
      <c r="A6" s="435" t="s">
        <v>231</v>
      </c>
      <c r="B6" s="436"/>
      <c r="C6" s="436"/>
      <c r="D6" s="436"/>
      <c r="E6" s="436"/>
      <c r="F6" s="436"/>
      <c r="G6" s="436"/>
      <c r="H6" s="436"/>
      <c r="I6" s="436"/>
      <c r="J6" s="437"/>
      <c r="K6" s="301"/>
    </row>
    <row r="7" spans="1:11" x14ac:dyDescent="0.25">
      <c r="A7" s="302" t="s">
        <v>232</v>
      </c>
      <c r="B7" s="303"/>
      <c r="C7" s="303"/>
      <c r="D7" s="303"/>
      <c r="E7" s="303"/>
      <c r="F7" s="303"/>
      <c r="G7" s="303"/>
      <c r="H7" s="303"/>
      <c r="I7" s="303"/>
      <c r="J7" s="303"/>
      <c r="K7" s="304"/>
    </row>
    <row r="8" spans="1:11" ht="16.5" thickBot="1" x14ac:dyDescent="0.3">
      <c r="A8" s="32" t="s">
        <v>233</v>
      </c>
      <c r="B8" s="305"/>
      <c r="C8" s="306"/>
      <c r="D8" s="33" t="s">
        <v>234</v>
      </c>
      <c r="E8" s="305"/>
      <c r="F8" s="306"/>
      <c r="G8" s="33" t="s">
        <v>235</v>
      </c>
      <c r="H8" s="305"/>
      <c r="I8" s="306"/>
      <c r="J8" s="438" t="str">
        <f>IF(OR(AND( LEN(B8)&gt;0,LEN(E8)&gt;0),AND(LEN(B8)&gt;0,LEN(H8)&gt;0),AND(LEN(E8)&gt;0,LEN(H8)&gt;0)),"Only check one box","")</f>
        <v/>
      </c>
      <c r="K8" s="439"/>
    </row>
    <row r="9" spans="1:11" x14ac:dyDescent="0.25">
      <c r="A9" s="424" t="s">
        <v>236</v>
      </c>
      <c r="B9" s="424"/>
      <c r="C9" s="424"/>
      <c r="D9" s="424"/>
      <c r="E9" s="424"/>
      <c r="F9" s="424"/>
      <c r="G9" s="424"/>
      <c r="H9" s="424"/>
      <c r="I9" s="424"/>
      <c r="J9" s="424"/>
      <c r="K9" s="424"/>
    </row>
    <row r="10" spans="1:11" ht="75.75" customHeight="1" thickBot="1" x14ac:dyDescent="0.3">
      <c r="A10" s="415"/>
      <c r="B10" s="416"/>
      <c r="C10" s="416"/>
      <c r="D10" s="416"/>
      <c r="E10" s="416"/>
      <c r="F10" s="416"/>
      <c r="G10" s="416"/>
      <c r="H10" s="416"/>
      <c r="I10" s="416"/>
      <c r="J10" s="416"/>
      <c r="K10" s="417"/>
    </row>
    <row r="11" spans="1:11" ht="15.75" thickBot="1" x14ac:dyDescent="0.3">
      <c r="A11" s="418"/>
      <c r="B11" s="418"/>
      <c r="C11" s="418"/>
      <c r="D11" s="418"/>
      <c r="E11" s="418"/>
      <c r="F11" s="418"/>
      <c r="G11" s="418"/>
      <c r="H11" s="418"/>
      <c r="I11" s="418"/>
      <c r="J11" s="418"/>
      <c r="K11" s="418"/>
    </row>
    <row r="12" spans="1:11" x14ac:dyDescent="0.25">
      <c r="A12" s="307" t="s">
        <v>56</v>
      </c>
      <c r="B12" s="308">
        <v>1</v>
      </c>
      <c r="C12" s="309" t="s">
        <v>237</v>
      </c>
      <c r="D12" s="422" t="str">
        <f>VLOOKUP('Scores and Comments - template'!B12,Criteria!$A:$B,2,FALSE)</f>
        <v>Criteria 1</v>
      </c>
      <c r="E12" s="422"/>
      <c r="F12" s="422"/>
      <c r="G12" s="422"/>
      <c r="H12" s="422"/>
      <c r="I12" s="422"/>
      <c r="J12" s="422"/>
      <c r="K12" s="423"/>
    </row>
    <row r="13" spans="1:11" x14ac:dyDescent="0.25">
      <c r="A13" s="112" t="s">
        <v>185</v>
      </c>
      <c r="B13" s="310">
        <f>VLOOKUP(B12,Criteria!$A:$D,3,FALSE)</f>
        <v>1</v>
      </c>
      <c r="C13" s="155" t="s">
        <v>186</v>
      </c>
      <c r="D13" s="310">
        <f>VLOOKUP(B12,Criteria!$A:$D,4,FALSE)</f>
        <v>3</v>
      </c>
      <c r="E13" s="311" t="s">
        <v>238</v>
      </c>
      <c r="F13" s="312"/>
      <c r="G13" s="419"/>
      <c r="H13" s="420"/>
      <c r="I13" s="420"/>
      <c r="J13" s="420"/>
      <c r="K13" s="421"/>
    </row>
    <row r="14" spans="1:11" x14ac:dyDescent="0.25">
      <c r="A14" s="412" t="s">
        <v>239</v>
      </c>
      <c r="B14" s="413"/>
      <c r="C14" s="413"/>
      <c r="D14" s="413"/>
      <c r="E14" s="413"/>
      <c r="F14" s="413"/>
      <c r="G14" s="413"/>
      <c r="H14" s="413"/>
      <c r="I14" s="413"/>
      <c r="J14" s="413"/>
      <c r="K14" s="414"/>
    </row>
    <row r="15" spans="1:11" ht="75.75" customHeight="1" thickBot="1" x14ac:dyDescent="0.3">
      <c r="A15" s="415"/>
      <c r="B15" s="416"/>
      <c r="C15" s="416"/>
      <c r="D15" s="416"/>
      <c r="E15" s="416"/>
      <c r="F15" s="416"/>
      <c r="G15" s="416"/>
      <c r="H15" s="416"/>
      <c r="I15" s="416"/>
      <c r="J15" s="416"/>
      <c r="K15" s="417"/>
    </row>
    <row r="16" spans="1:11" ht="15.75" thickBot="1" x14ac:dyDescent="0.3">
      <c r="A16" s="418"/>
      <c r="B16" s="418"/>
      <c r="C16" s="418"/>
      <c r="D16" s="418"/>
      <c r="E16" s="418"/>
      <c r="F16" s="418"/>
      <c r="G16" s="418"/>
      <c r="H16" s="418"/>
      <c r="I16" s="418"/>
      <c r="J16" s="418"/>
      <c r="K16" s="418"/>
    </row>
    <row r="17" spans="1:11" x14ac:dyDescent="0.25">
      <c r="A17" s="307" t="s">
        <v>56</v>
      </c>
      <c r="B17" s="308">
        <f>B12+1</f>
        <v>2</v>
      </c>
      <c r="C17" s="309" t="s">
        <v>237</v>
      </c>
      <c r="D17" s="422" t="str">
        <f>VLOOKUP('Scores and Comments - template'!B17,Criteria!$A:$B,2,FALSE)</f>
        <v>Criteria 2</v>
      </c>
      <c r="E17" s="422"/>
      <c r="F17" s="422"/>
      <c r="G17" s="422"/>
      <c r="H17" s="422"/>
      <c r="I17" s="422"/>
      <c r="J17" s="422"/>
      <c r="K17" s="423"/>
    </row>
    <row r="18" spans="1:11" x14ac:dyDescent="0.25">
      <c r="A18" s="112" t="s">
        <v>185</v>
      </c>
      <c r="B18" s="310">
        <f>VLOOKUP(B17,Criteria!$A:$D,3,FALSE)</f>
        <v>1</v>
      </c>
      <c r="C18" s="155" t="s">
        <v>186</v>
      </c>
      <c r="D18" s="310">
        <f>VLOOKUP(B17,Criteria!$A:$D,4,FALSE)</f>
        <v>3</v>
      </c>
      <c r="E18" s="311" t="s">
        <v>238</v>
      </c>
      <c r="F18" s="312"/>
      <c r="G18" s="419"/>
      <c r="H18" s="420"/>
      <c r="I18" s="420"/>
      <c r="J18" s="420"/>
      <c r="K18" s="421"/>
    </row>
    <row r="19" spans="1:11" x14ac:dyDescent="0.25">
      <c r="A19" s="412" t="s">
        <v>239</v>
      </c>
      <c r="B19" s="413"/>
      <c r="C19" s="413"/>
      <c r="D19" s="413"/>
      <c r="E19" s="413"/>
      <c r="F19" s="413"/>
      <c r="G19" s="413"/>
      <c r="H19" s="413"/>
      <c r="I19" s="413"/>
      <c r="J19" s="413"/>
      <c r="K19" s="414"/>
    </row>
    <row r="20" spans="1:11" ht="95.1" customHeight="1" thickBot="1" x14ac:dyDescent="0.3">
      <c r="A20" s="415"/>
      <c r="B20" s="416"/>
      <c r="C20" s="416"/>
      <c r="D20" s="416"/>
      <c r="E20" s="416"/>
      <c r="F20" s="416"/>
      <c r="G20" s="416"/>
      <c r="H20" s="416"/>
      <c r="I20" s="416"/>
      <c r="J20" s="416"/>
      <c r="K20" s="417"/>
    </row>
    <row r="21" spans="1:11" ht="15.75" thickBot="1" x14ac:dyDescent="0.3">
      <c r="A21" s="418"/>
      <c r="B21" s="418"/>
      <c r="C21" s="418"/>
      <c r="D21" s="418"/>
      <c r="E21" s="418"/>
      <c r="F21" s="418"/>
      <c r="G21" s="418"/>
      <c r="H21" s="418"/>
      <c r="I21" s="418"/>
      <c r="J21" s="418"/>
      <c r="K21" s="418"/>
    </row>
    <row r="22" spans="1:11" x14ac:dyDescent="0.25">
      <c r="A22" s="307" t="s">
        <v>56</v>
      </c>
      <c r="B22" s="308">
        <f>B17+1</f>
        <v>3</v>
      </c>
      <c r="C22" s="309" t="s">
        <v>237</v>
      </c>
      <c r="D22" s="422" t="str">
        <f>VLOOKUP('Scores and Comments - template'!B22,Criteria!$A:$B,2,FALSE)</f>
        <v>Criteria 3</v>
      </c>
      <c r="E22" s="422"/>
      <c r="F22" s="422"/>
      <c r="G22" s="422"/>
      <c r="H22" s="422"/>
      <c r="I22" s="422"/>
      <c r="J22" s="422"/>
      <c r="K22" s="423"/>
    </row>
    <row r="23" spans="1:11" x14ac:dyDescent="0.25">
      <c r="A23" s="112" t="s">
        <v>185</v>
      </c>
      <c r="B23" s="310">
        <f>VLOOKUP(B22,Criteria!$A:$D,3,FALSE)</f>
        <v>1</v>
      </c>
      <c r="C23" s="155" t="s">
        <v>186</v>
      </c>
      <c r="D23" s="310">
        <f>VLOOKUP(B22,Criteria!$A:$D,4,FALSE)</f>
        <v>3</v>
      </c>
      <c r="E23" s="311" t="s">
        <v>238</v>
      </c>
      <c r="F23" s="312"/>
      <c r="G23" s="419"/>
      <c r="H23" s="420"/>
      <c r="I23" s="420"/>
      <c r="J23" s="420"/>
      <c r="K23" s="421"/>
    </row>
    <row r="24" spans="1:11" x14ac:dyDescent="0.25">
      <c r="A24" s="412" t="s">
        <v>239</v>
      </c>
      <c r="B24" s="413"/>
      <c r="C24" s="413"/>
      <c r="D24" s="413"/>
      <c r="E24" s="413"/>
      <c r="F24" s="413"/>
      <c r="G24" s="413"/>
      <c r="H24" s="413"/>
      <c r="I24" s="413"/>
      <c r="J24" s="413"/>
      <c r="K24" s="414"/>
    </row>
    <row r="25" spans="1:11" ht="95.1" customHeight="1" thickBot="1" x14ac:dyDescent="0.3">
      <c r="A25" s="415"/>
      <c r="B25" s="416"/>
      <c r="C25" s="416"/>
      <c r="D25" s="416"/>
      <c r="E25" s="416"/>
      <c r="F25" s="416"/>
      <c r="G25" s="416"/>
      <c r="H25" s="416"/>
      <c r="I25" s="416"/>
      <c r="J25" s="416"/>
      <c r="K25" s="417"/>
    </row>
    <row r="26" spans="1:11" ht="15.75" thickBot="1" x14ac:dyDescent="0.3">
      <c r="A26" s="418"/>
      <c r="B26" s="418"/>
      <c r="C26" s="418"/>
      <c r="D26" s="418"/>
      <c r="E26" s="418"/>
      <c r="F26" s="418"/>
      <c r="G26" s="418"/>
      <c r="H26" s="418"/>
      <c r="I26" s="418"/>
      <c r="J26" s="418"/>
      <c r="K26" s="418"/>
    </row>
    <row r="27" spans="1:11" x14ac:dyDescent="0.25">
      <c r="A27" s="307" t="s">
        <v>56</v>
      </c>
      <c r="B27" s="308">
        <f>B22+1</f>
        <v>4</v>
      </c>
      <c r="C27" s="309" t="s">
        <v>237</v>
      </c>
      <c r="D27" s="422" t="str">
        <f>VLOOKUP('Scores and Comments - template'!B27,Criteria!$A:$B,2,FALSE)</f>
        <v>Criteria 4</v>
      </c>
      <c r="E27" s="422"/>
      <c r="F27" s="422"/>
      <c r="G27" s="422"/>
      <c r="H27" s="422"/>
      <c r="I27" s="422"/>
      <c r="J27" s="422"/>
      <c r="K27" s="423"/>
    </row>
    <row r="28" spans="1:11" x14ac:dyDescent="0.25">
      <c r="A28" s="112" t="s">
        <v>185</v>
      </c>
      <c r="B28" s="310">
        <f>VLOOKUP(B27,Criteria!$A:$D,3,FALSE)</f>
        <v>1</v>
      </c>
      <c r="C28" s="155" t="s">
        <v>186</v>
      </c>
      <c r="D28" s="310">
        <f>VLOOKUP(B27,Criteria!$A:$D,4,FALSE)</f>
        <v>3</v>
      </c>
      <c r="E28" s="311" t="s">
        <v>238</v>
      </c>
      <c r="F28" s="312"/>
      <c r="G28" s="419"/>
      <c r="H28" s="420"/>
      <c r="I28" s="420"/>
      <c r="J28" s="420"/>
      <c r="K28" s="421"/>
    </row>
    <row r="29" spans="1:11" x14ac:dyDescent="0.25">
      <c r="A29" s="412" t="s">
        <v>239</v>
      </c>
      <c r="B29" s="413"/>
      <c r="C29" s="413"/>
      <c r="D29" s="413"/>
      <c r="E29" s="413"/>
      <c r="F29" s="413"/>
      <c r="G29" s="413"/>
      <c r="H29" s="413"/>
      <c r="I29" s="413"/>
      <c r="J29" s="413"/>
      <c r="K29" s="414"/>
    </row>
    <row r="30" spans="1:11" ht="95.1" customHeight="1" thickBot="1" x14ac:dyDescent="0.3">
      <c r="A30" s="415"/>
      <c r="B30" s="416"/>
      <c r="C30" s="416"/>
      <c r="D30" s="416"/>
      <c r="E30" s="416"/>
      <c r="F30" s="416"/>
      <c r="G30" s="416"/>
      <c r="H30" s="416"/>
      <c r="I30" s="416"/>
      <c r="J30" s="416"/>
      <c r="K30" s="417"/>
    </row>
    <row r="31" spans="1:11" ht="15.75" thickBot="1" x14ac:dyDescent="0.3">
      <c r="A31" s="418"/>
      <c r="B31" s="418"/>
      <c r="C31" s="418"/>
      <c r="D31" s="418"/>
      <c r="E31" s="418"/>
      <c r="F31" s="418"/>
      <c r="G31" s="418"/>
      <c r="H31" s="418"/>
      <c r="I31" s="418"/>
      <c r="J31" s="418"/>
      <c r="K31" s="418"/>
    </row>
    <row r="32" spans="1:11" x14ac:dyDescent="0.25">
      <c r="A32" s="307" t="s">
        <v>56</v>
      </c>
      <c r="B32" s="308">
        <f>B27+1</f>
        <v>5</v>
      </c>
      <c r="C32" s="309" t="s">
        <v>237</v>
      </c>
      <c r="D32" s="422" t="str">
        <f>VLOOKUP('Scores and Comments - template'!B32,Criteria!$A:$B,2,FALSE)</f>
        <v>Criteria 5</v>
      </c>
      <c r="E32" s="422"/>
      <c r="F32" s="422"/>
      <c r="G32" s="422"/>
      <c r="H32" s="422"/>
      <c r="I32" s="422"/>
      <c r="J32" s="422"/>
      <c r="K32" s="423"/>
    </row>
    <row r="33" spans="1:11" x14ac:dyDescent="0.25">
      <c r="A33" s="112" t="s">
        <v>185</v>
      </c>
      <c r="B33" s="310">
        <f>VLOOKUP(B32,Criteria!$A:$D,3,FALSE)</f>
        <v>1</v>
      </c>
      <c r="C33" s="155" t="s">
        <v>186</v>
      </c>
      <c r="D33" s="310">
        <f>VLOOKUP(B32,Criteria!$A:$D,4,FALSE)</f>
        <v>3</v>
      </c>
      <c r="E33" s="311" t="s">
        <v>238</v>
      </c>
      <c r="F33" s="312"/>
      <c r="G33" s="419"/>
      <c r="H33" s="420"/>
      <c r="I33" s="420"/>
      <c r="J33" s="420"/>
      <c r="K33" s="421"/>
    </row>
    <row r="34" spans="1:11" x14ac:dyDescent="0.25">
      <c r="A34" s="412" t="s">
        <v>239</v>
      </c>
      <c r="B34" s="413"/>
      <c r="C34" s="413"/>
      <c r="D34" s="413"/>
      <c r="E34" s="413"/>
      <c r="F34" s="413"/>
      <c r="G34" s="413"/>
      <c r="H34" s="413"/>
      <c r="I34" s="413"/>
      <c r="J34" s="413"/>
      <c r="K34" s="414"/>
    </row>
    <row r="35" spans="1:11" ht="95.1" customHeight="1" thickBot="1" x14ac:dyDescent="0.3">
      <c r="A35" s="415"/>
      <c r="B35" s="416"/>
      <c r="C35" s="416"/>
      <c r="D35" s="416"/>
      <c r="E35" s="416"/>
      <c r="F35" s="416"/>
      <c r="G35" s="416"/>
      <c r="H35" s="416"/>
      <c r="I35" s="416"/>
      <c r="J35" s="416"/>
      <c r="K35" s="417"/>
    </row>
    <row r="36" spans="1:11" ht="15.75" thickBot="1" x14ac:dyDescent="0.3">
      <c r="A36" s="418"/>
      <c r="B36" s="418"/>
      <c r="C36" s="418"/>
      <c r="D36" s="418"/>
      <c r="E36" s="418"/>
      <c r="F36" s="418"/>
      <c r="G36" s="418"/>
      <c r="H36" s="418"/>
      <c r="I36" s="418"/>
      <c r="J36" s="418"/>
      <c r="K36" s="418"/>
    </row>
    <row r="37" spans="1:11" x14ac:dyDescent="0.25">
      <c r="A37" s="307" t="s">
        <v>56</v>
      </c>
      <c r="B37" s="308">
        <f>B32+1</f>
        <v>6</v>
      </c>
      <c r="C37" s="309" t="s">
        <v>237</v>
      </c>
      <c r="D37" s="422" t="str">
        <f>VLOOKUP('Scores and Comments - template'!B37,Criteria!$A:$B,2,FALSE)</f>
        <v>Criteria 6</v>
      </c>
      <c r="E37" s="422"/>
      <c r="F37" s="422"/>
      <c r="G37" s="422"/>
      <c r="H37" s="422"/>
      <c r="I37" s="422"/>
      <c r="J37" s="422"/>
      <c r="K37" s="423"/>
    </row>
    <row r="38" spans="1:11" x14ac:dyDescent="0.25">
      <c r="A38" s="112" t="s">
        <v>185</v>
      </c>
      <c r="B38" s="310">
        <f>VLOOKUP(B37,Criteria!$A:$D,3,FALSE)</f>
        <v>1</v>
      </c>
      <c r="C38" s="155" t="s">
        <v>186</v>
      </c>
      <c r="D38" s="310">
        <f>VLOOKUP(B37,Criteria!$A:$D,4,FALSE)</f>
        <v>3</v>
      </c>
      <c r="E38" s="311" t="s">
        <v>238</v>
      </c>
      <c r="F38" s="312"/>
      <c r="G38" s="419"/>
      <c r="H38" s="420"/>
      <c r="I38" s="420"/>
      <c r="J38" s="420"/>
      <c r="K38" s="421"/>
    </row>
    <row r="39" spans="1:11" x14ac:dyDescent="0.25">
      <c r="A39" s="412" t="s">
        <v>239</v>
      </c>
      <c r="B39" s="413"/>
      <c r="C39" s="413"/>
      <c r="D39" s="413"/>
      <c r="E39" s="413"/>
      <c r="F39" s="413"/>
      <c r="G39" s="413"/>
      <c r="H39" s="413"/>
      <c r="I39" s="413"/>
      <c r="J39" s="413"/>
      <c r="K39" s="414"/>
    </row>
    <row r="40" spans="1:11" ht="95.1" customHeight="1" thickBot="1" x14ac:dyDescent="0.3">
      <c r="A40" s="415"/>
      <c r="B40" s="416"/>
      <c r="C40" s="416"/>
      <c r="D40" s="416"/>
      <c r="E40" s="416"/>
      <c r="F40" s="416"/>
      <c r="G40" s="416"/>
      <c r="H40" s="416"/>
      <c r="I40" s="416"/>
      <c r="J40" s="416"/>
      <c r="K40" s="417"/>
    </row>
    <row r="41" spans="1:11" ht="15.75" thickBot="1" x14ac:dyDescent="0.3">
      <c r="A41" s="418"/>
      <c r="B41" s="418"/>
      <c r="C41" s="418"/>
      <c r="D41" s="418"/>
      <c r="E41" s="418"/>
      <c r="F41" s="418"/>
      <c r="G41" s="418"/>
      <c r="H41" s="418"/>
      <c r="I41" s="418"/>
      <c r="J41" s="418"/>
      <c r="K41" s="418"/>
    </row>
    <row r="42" spans="1:11" x14ac:dyDescent="0.25">
      <c r="A42" s="307" t="s">
        <v>56</v>
      </c>
      <c r="B42" s="308">
        <f>B37+1</f>
        <v>7</v>
      </c>
      <c r="C42" s="309" t="s">
        <v>237</v>
      </c>
      <c r="D42" s="422" t="str">
        <f>VLOOKUP('Scores and Comments - template'!B42,Criteria!$A:$B,2,FALSE)</f>
        <v>Criteria 7</v>
      </c>
      <c r="E42" s="422"/>
      <c r="F42" s="422"/>
      <c r="G42" s="422"/>
      <c r="H42" s="422"/>
      <c r="I42" s="422"/>
      <c r="J42" s="422"/>
      <c r="K42" s="423"/>
    </row>
    <row r="43" spans="1:11" x14ac:dyDescent="0.25">
      <c r="A43" s="112" t="s">
        <v>185</v>
      </c>
      <c r="B43" s="310">
        <f>VLOOKUP(B42,Criteria!$A:$D,3,FALSE)</f>
        <v>1</v>
      </c>
      <c r="C43" s="155" t="s">
        <v>186</v>
      </c>
      <c r="D43" s="310">
        <f>VLOOKUP(B42,Criteria!$A:$D,4,FALSE)</f>
        <v>3</v>
      </c>
      <c r="E43" s="311" t="s">
        <v>238</v>
      </c>
      <c r="F43" s="312"/>
      <c r="G43" s="419"/>
      <c r="H43" s="420"/>
      <c r="I43" s="420"/>
      <c r="J43" s="420"/>
      <c r="K43" s="421"/>
    </row>
    <row r="44" spans="1:11" x14ac:dyDescent="0.25">
      <c r="A44" s="412" t="s">
        <v>239</v>
      </c>
      <c r="B44" s="413"/>
      <c r="C44" s="413"/>
      <c r="D44" s="413"/>
      <c r="E44" s="413"/>
      <c r="F44" s="413"/>
      <c r="G44" s="413"/>
      <c r="H44" s="413"/>
      <c r="I44" s="413"/>
      <c r="J44" s="413"/>
      <c r="K44" s="414"/>
    </row>
    <row r="45" spans="1:11" ht="95.1" customHeight="1" thickBot="1" x14ac:dyDescent="0.3">
      <c r="A45" s="415"/>
      <c r="B45" s="416"/>
      <c r="C45" s="416"/>
      <c r="D45" s="416"/>
      <c r="E45" s="416"/>
      <c r="F45" s="416"/>
      <c r="G45" s="416"/>
      <c r="H45" s="416"/>
      <c r="I45" s="416"/>
      <c r="J45" s="416"/>
      <c r="K45" s="417"/>
    </row>
    <row r="46" spans="1:11" ht="20.100000000000001" customHeight="1" x14ac:dyDescent="0.25">
      <c r="A46" s="418" t="s">
        <v>240</v>
      </c>
      <c r="B46" s="418"/>
      <c r="C46" s="418"/>
      <c r="D46" s="418"/>
      <c r="E46" s="418"/>
      <c r="F46" s="418"/>
      <c r="G46" s="418"/>
      <c r="H46" s="418"/>
      <c r="I46" s="418"/>
      <c r="J46" s="418"/>
      <c r="K46" s="418"/>
    </row>
  </sheetData>
  <mergeCells count="44">
    <mergeCell ref="A14:K14"/>
    <mergeCell ref="B1:G1"/>
    <mergeCell ref="B2:F2"/>
    <mergeCell ref="G2:K3"/>
    <mergeCell ref="B5:K5"/>
    <mergeCell ref="A6:J6"/>
    <mergeCell ref="J8:K8"/>
    <mergeCell ref="A9:K9"/>
    <mergeCell ref="A10:K10"/>
    <mergeCell ref="A11:K11"/>
    <mergeCell ref="D12:K12"/>
    <mergeCell ref="G13:K13"/>
    <mergeCell ref="A25:K25"/>
    <mergeCell ref="A15:K15"/>
    <mergeCell ref="A16:K16"/>
    <mergeCell ref="D17:K17"/>
    <mergeCell ref="G18:K18"/>
    <mergeCell ref="A19:K19"/>
    <mergeCell ref="A20:K20"/>
    <mergeCell ref="A21:K21"/>
    <mergeCell ref="D22:K22"/>
    <mergeCell ref="G23:K23"/>
    <mergeCell ref="A24:K24"/>
    <mergeCell ref="D37:K37"/>
    <mergeCell ref="A26:K26"/>
    <mergeCell ref="D27:K27"/>
    <mergeCell ref="G28:K28"/>
    <mergeCell ref="A29:K29"/>
    <mergeCell ref="A30:K30"/>
    <mergeCell ref="A31:K31"/>
    <mergeCell ref="D32:K32"/>
    <mergeCell ref="G33:K33"/>
    <mergeCell ref="A34:K34"/>
    <mergeCell ref="A35:K35"/>
    <mergeCell ref="A36:K36"/>
    <mergeCell ref="A44:K44"/>
    <mergeCell ref="A45:K45"/>
    <mergeCell ref="A46:K46"/>
    <mergeCell ref="G38:K38"/>
    <mergeCell ref="A39:K39"/>
    <mergeCell ref="A40:K40"/>
    <mergeCell ref="A41:K41"/>
    <mergeCell ref="D42:K42"/>
    <mergeCell ref="G43:K43"/>
  </mergeCells>
  <dataValidations count="2">
    <dataValidation type="custom" allowBlank="1" showInputMessage="1" showErrorMessage="1" sqref="K6" xr:uid="{DACB9A6E-C239-426C-8B7B-1C5EC6500DAB}">
      <formula1>OR(K6="YES",K6="NO")</formula1>
    </dataValidation>
    <dataValidation type="custom" allowBlank="1" showInputMessage="1" showErrorMessage="1" sqref="F13 F18 F23 F28 F33 F38 F43" xr:uid="{A1608627-F72F-4B06-B2F5-8737FDC8E629}">
      <formula1>AND(F13&lt;=D13,F13&gt;=B13)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4B8F7-F055-4F51-808D-9E7D87646C96}">
  <sheetPr codeName="Sheet30">
    <tabColor theme="5" tint="0.79998168889431442"/>
  </sheetPr>
  <dimension ref="A1:S15"/>
  <sheetViews>
    <sheetView zoomScale="130" zoomScaleNormal="130" workbookViewId="0">
      <pane ySplit="8" topLeftCell="A9" activePane="bottomLeft" state="frozen"/>
      <selection activeCell="A10" sqref="A10:K10"/>
      <selection pane="bottomLeft" activeCell="A10" sqref="A10:K10"/>
    </sheetView>
  </sheetViews>
  <sheetFormatPr defaultRowHeight="15" x14ac:dyDescent="0.25"/>
  <cols>
    <col min="1" max="1" width="4.5703125" style="4" customWidth="1"/>
    <col min="2" max="2" width="39.85546875" customWidth="1"/>
    <col min="3" max="3" width="10.140625" customWidth="1"/>
    <col min="4" max="10" width="6" customWidth="1"/>
    <col min="11" max="11" width="7.5703125" customWidth="1"/>
    <col min="12" max="18" width="6.42578125" customWidth="1"/>
  </cols>
  <sheetData>
    <row r="1" spans="1:19" x14ac:dyDescent="0.25">
      <c r="A1" s="313" t="s">
        <v>241</v>
      </c>
      <c r="B1" s="314"/>
      <c r="C1" s="315" t="s">
        <v>242</v>
      </c>
      <c r="D1" s="316"/>
      <c r="E1" s="316"/>
      <c r="F1" s="316"/>
      <c r="G1" s="316"/>
      <c r="H1" s="316"/>
      <c r="I1" s="316"/>
      <c r="J1" s="316"/>
      <c r="K1" s="317"/>
      <c r="L1" s="54"/>
      <c r="M1" s="54"/>
      <c r="N1" s="54"/>
      <c r="O1" s="54"/>
      <c r="P1" s="54"/>
      <c r="Q1" s="54"/>
      <c r="R1" s="54"/>
      <c r="S1" s="51">
        <f>K12</f>
        <v>0</v>
      </c>
    </row>
    <row r="2" spans="1:19" x14ac:dyDescent="0.25">
      <c r="A2" s="318" t="s">
        <v>243</v>
      </c>
      <c r="B2" s="319"/>
      <c r="C2" s="319"/>
      <c r="D2" s="319"/>
      <c r="E2" s="319"/>
      <c r="F2" s="319"/>
      <c r="G2" s="319"/>
      <c r="H2" s="319"/>
      <c r="I2" s="319"/>
      <c r="J2" s="319"/>
      <c r="K2" s="320"/>
      <c r="L2" s="320"/>
      <c r="M2" s="320"/>
      <c r="N2" s="320"/>
      <c r="O2" s="320"/>
      <c r="P2" s="320"/>
      <c r="Q2" s="320"/>
      <c r="R2" s="320"/>
      <c r="S2" s="321"/>
    </row>
    <row r="3" spans="1:19" ht="15" customHeight="1" x14ac:dyDescent="0.25">
      <c r="A3" s="322" t="s">
        <v>244</v>
      </c>
      <c r="B3" s="323"/>
      <c r="C3" s="54"/>
      <c r="D3" s="324" t="s">
        <v>245</v>
      </c>
      <c r="E3" s="324"/>
      <c r="F3" s="324"/>
      <c r="G3" s="324"/>
      <c r="H3" s="324"/>
      <c r="I3" s="324"/>
      <c r="J3" s="324"/>
      <c r="K3" s="325"/>
      <c r="L3" s="326" t="s">
        <v>246</v>
      </c>
      <c r="M3" s="326"/>
      <c r="N3" s="326"/>
      <c r="O3" s="326"/>
      <c r="P3" s="326"/>
      <c r="Q3" s="326"/>
      <c r="R3" s="326"/>
      <c r="S3" s="327"/>
    </row>
    <row r="4" spans="1:19" ht="15" customHeight="1" x14ac:dyDescent="0.25">
      <c r="A4" s="328" t="s">
        <v>247</v>
      </c>
      <c r="B4" s="329"/>
      <c r="C4" s="20" t="s">
        <v>56</v>
      </c>
      <c r="D4" s="59">
        <v>1</v>
      </c>
      <c r="E4" s="59">
        <v>2</v>
      </c>
      <c r="F4" s="59">
        <v>3</v>
      </c>
      <c r="G4" s="59">
        <v>4</v>
      </c>
      <c r="H4" s="59">
        <v>5</v>
      </c>
      <c r="I4" s="59">
        <v>6</v>
      </c>
      <c r="J4" s="59">
        <v>7</v>
      </c>
      <c r="K4" s="59"/>
      <c r="L4" s="59">
        <v>1</v>
      </c>
      <c r="M4" s="59">
        <v>2</v>
      </c>
      <c r="N4" s="59">
        <v>3</v>
      </c>
      <c r="O4" s="59">
        <v>4</v>
      </c>
      <c r="P4" s="59">
        <v>5</v>
      </c>
      <c r="Q4" s="59">
        <v>6</v>
      </c>
      <c r="R4" s="59">
        <v>7</v>
      </c>
      <c r="S4" s="59"/>
    </row>
    <row r="5" spans="1:19" ht="30" x14ac:dyDescent="0.25">
      <c r="A5" s="330" t="s">
        <v>248</v>
      </c>
      <c r="B5" s="331"/>
      <c r="C5" s="332" t="s">
        <v>249</v>
      </c>
      <c r="D5" s="59" t="str">
        <f>Criteria!H10</f>
        <v>Criteria 1</v>
      </c>
      <c r="E5" s="59" t="str">
        <f>Criteria!I10</f>
        <v>Criteria 2</v>
      </c>
      <c r="F5" s="59" t="str">
        <f>Criteria!J10</f>
        <v>Criteria 3</v>
      </c>
      <c r="G5" s="59" t="str">
        <f>Criteria!K10</f>
        <v>Criteria 4</v>
      </c>
      <c r="H5" s="59" t="str">
        <f>Criteria!L10</f>
        <v>Criteria 5</v>
      </c>
      <c r="I5" s="59" t="str">
        <f>Criteria!M10</f>
        <v>Criteria 6</v>
      </c>
      <c r="J5" s="59" t="str">
        <f>Criteria!N10</f>
        <v>Criteria 7</v>
      </c>
      <c r="K5" s="59" t="s">
        <v>250</v>
      </c>
      <c r="L5" s="59" t="str">
        <f>D5</f>
        <v>Criteria 1</v>
      </c>
      <c r="M5" s="59" t="str">
        <f t="shared" ref="M5:R7" si="0">E5</f>
        <v>Criteria 2</v>
      </c>
      <c r="N5" s="59" t="str">
        <f t="shared" si="0"/>
        <v>Criteria 3</v>
      </c>
      <c r="O5" s="59" t="str">
        <f t="shared" si="0"/>
        <v>Criteria 4</v>
      </c>
      <c r="P5" s="59" t="str">
        <f t="shared" si="0"/>
        <v>Criteria 5</v>
      </c>
      <c r="Q5" s="59" t="str">
        <f t="shared" si="0"/>
        <v>Criteria 6</v>
      </c>
      <c r="R5" s="59" t="str">
        <f t="shared" si="0"/>
        <v>Criteria 7</v>
      </c>
      <c r="S5" s="59" t="s">
        <v>251</v>
      </c>
    </row>
    <row r="6" spans="1:19" ht="18" customHeight="1" x14ac:dyDescent="0.25">
      <c r="A6" s="333" t="s">
        <v>252</v>
      </c>
      <c r="B6" s="334"/>
      <c r="C6" s="335" t="s">
        <v>253</v>
      </c>
      <c r="D6" s="59">
        <f>IF(LEN(D$5)&gt;0,Criteria!H11,"")</f>
        <v>1</v>
      </c>
      <c r="E6" s="59">
        <f>IF(LEN(E$5)&gt;0,Criteria!I11,"")</f>
        <v>1</v>
      </c>
      <c r="F6" s="59">
        <f>IF(LEN(F$5)&gt;0,Criteria!J11,"")</f>
        <v>1</v>
      </c>
      <c r="G6" s="59">
        <f>IF(LEN(G$5)&gt;0,Criteria!K11,"")</f>
        <v>1</v>
      </c>
      <c r="H6" s="59">
        <f>IF(LEN(H$5)&gt;0,Criteria!L11,"")</f>
        <v>1</v>
      </c>
      <c r="I6" s="59">
        <f>IF(LEN(I$5)&gt;0,Criteria!M11,"")</f>
        <v>1</v>
      </c>
      <c r="J6" s="59">
        <f>IF(LEN(J$5)&gt;0,Criteria!N11,"")</f>
        <v>1</v>
      </c>
      <c r="K6" s="51">
        <f>SUM(D6:J6)</f>
        <v>7</v>
      </c>
      <c r="L6" s="59">
        <f>D6</f>
        <v>1</v>
      </c>
      <c r="M6" s="59">
        <f t="shared" si="0"/>
        <v>1</v>
      </c>
      <c r="N6" s="59">
        <f t="shared" si="0"/>
        <v>1</v>
      </c>
      <c r="O6" s="59">
        <f t="shared" si="0"/>
        <v>1</v>
      </c>
      <c r="P6" s="59">
        <f t="shared" si="0"/>
        <v>1</v>
      </c>
      <c r="Q6" s="59">
        <f t="shared" si="0"/>
        <v>1</v>
      </c>
      <c r="R6" s="59">
        <f t="shared" si="0"/>
        <v>1</v>
      </c>
      <c r="S6" s="51"/>
    </row>
    <row r="7" spans="1:19" ht="18" customHeight="1" x14ac:dyDescent="0.25">
      <c r="A7" s="336" t="s">
        <v>254</v>
      </c>
      <c r="B7" s="337"/>
      <c r="C7" s="335" t="s">
        <v>255</v>
      </c>
      <c r="D7" s="59">
        <f>IF(LEN(D$5)&gt;0,Criteria!H12,"")</f>
        <v>3</v>
      </c>
      <c r="E7" s="59">
        <f>IF(LEN(E$5)&gt;0,Criteria!I12,"")</f>
        <v>3</v>
      </c>
      <c r="F7" s="59">
        <f>IF(LEN(F$5)&gt;0,Criteria!J12,"")</f>
        <v>3</v>
      </c>
      <c r="G7" s="59">
        <f>IF(LEN(G$5)&gt;0,Criteria!K12,"")</f>
        <v>3</v>
      </c>
      <c r="H7" s="59">
        <f>IF(LEN(H$5)&gt;0,Criteria!L12,"")</f>
        <v>3</v>
      </c>
      <c r="I7" s="59">
        <f>IF(LEN(I$5)&gt;0,Criteria!M12,"")</f>
        <v>3</v>
      </c>
      <c r="J7" s="59">
        <f>IF(LEN(J$5)&gt;0,Criteria!N12,"")</f>
        <v>3</v>
      </c>
      <c r="K7" s="51">
        <f>SUM(D7:J7)</f>
        <v>21</v>
      </c>
      <c r="L7" s="51">
        <f>D7</f>
        <v>3</v>
      </c>
      <c r="M7" s="51">
        <f t="shared" si="0"/>
        <v>3</v>
      </c>
      <c r="N7" s="51">
        <f t="shared" si="0"/>
        <v>3</v>
      </c>
      <c r="O7" s="51">
        <f t="shared" si="0"/>
        <v>3</v>
      </c>
      <c r="P7" s="51">
        <f t="shared" si="0"/>
        <v>3</v>
      </c>
      <c r="Q7" s="51">
        <f t="shared" si="0"/>
        <v>3</v>
      </c>
      <c r="R7" s="51">
        <f t="shared" si="0"/>
        <v>3</v>
      </c>
      <c r="S7" s="51"/>
    </row>
    <row r="8" spans="1:19" ht="47.25" customHeight="1" thickBot="1" x14ac:dyDescent="0.3">
      <c r="A8" s="338" t="s">
        <v>72</v>
      </c>
      <c r="B8" s="85" t="s">
        <v>76</v>
      </c>
      <c r="C8" s="339" t="s">
        <v>256</v>
      </c>
      <c r="D8" s="340" t="s">
        <v>257</v>
      </c>
      <c r="E8" s="340"/>
      <c r="F8" s="340"/>
      <c r="G8" s="340"/>
      <c r="H8" s="340"/>
      <c r="I8" s="340"/>
      <c r="J8" s="340"/>
      <c r="K8" s="341"/>
      <c r="L8" s="324" t="s">
        <v>191</v>
      </c>
      <c r="M8" s="324"/>
      <c r="N8" s="324"/>
      <c r="O8" s="324"/>
      <c r="P8" s="324"/>
      <c r="Q8" s="324"/>
      <c r="R8" s="324"/>
      <c r="S8" s="342"/>
    </row>
    <row r="9" spans="1:19" x14ac:dyDescent="0.25">
      <c r="A9" s="51"/>
      <c r="B9" s="51"/>
      <c r="C9" s="6"/>
      <c r="D9" s="343"/>
      <c r="E9" s="343"/>
      <c r="F9" s="343"/>
      <c r="G9" s="343"/>
      <c r="H9" s="343"/>
      <c r="I9" s="343"/>
      <c r="J9" s="343"/>
      <c r="K9" s="344">
        <f>SUM(D9:J9)</f>
        <v>0</v>
      </c>
      <c r="L9" s="345" t="str">
        <f>IF(LEN(D9)&gt;0,D9/$K$11*$K$15,"")</f>
        <v/>
      </c>
      <c r="M9" s="345" t="str">
        <f t="shared" ref="M9:R10" si="1">IF(LEN(E9)&gt;0,E9/$K$11*$K$15,"")</f>
        <v/>
      </c>
      <c r="N9" s="345" t="str">
        <f t="shared" si="1"/>
        <v/>
      </c>
      <c r="O9" s="345" t="str">
        <f t="shared" si="1"/>
        <v/>
      </c>
      <c r="P9" s="345" t="str">
        <f t="shared" si="1"/>
        <v/>
      </c>
      <c r="Q9" s="345" t="str">
        <f t="shared" si="1"/>
        <v/>
      </c>
      <c r="R9" s="345" t="str">
        <f t="shared" si="1"/>
        <v/>
      </c>
      <c r="S9" s="344">
        <f>SUM(L9:R9)</f>
        <v>0</v>
      </c>
    </row>
    <row r="10" spans="1:19" ht="15.75" thickBot="1" x14ac:dyDescent="0.3">
      <c r="A10" s="346"/>
      <c r="B10" s="202"/>
      <c r="C10" s="347"/>
      <c r="D10" s="348"/>
      <c r="E10" s="348"/>
      <c r="F10" s="348"/>
      <c r="G10" s="348"/>
      <c r="H10" s="348"/>
      <c r="I10" s="348"/>
      <c r="J10" s="348"/>
      <c r="K10" s="344">
        <f>SUM(D10:J10)</f>
        <v>0</v>
      </c>
      <c r="L10" s="345" t="str">
        <f>IF(LEN(D10)&gt;0,D10/$K$11*$K$15,"")</f>
        <v/>
      </c>
      <c r="M10" s="345" t="str">
        <f t="shared" si="1"/>
        <v/>
      </c>
      <c r="N10" s="345" t="str">
        <f t="shared" si="1"/>
        <v/>
      </c>
      <c r="O10" s="345" t="str">
        <f t="shared" si="1"/>
        <v/>
      </c>
      <c r="P10" s="345" t="str">
        <f t="shared" si="1"/>
        <v/>
      </c>
      <c r="Q10" s="345" t="str">
        <f t="shared" si="1"/>
        <v/>
      </c>
      <c r="R10" s="345" t="str">
        <f t="shared" si="1"/>
        <v/>
      </c>
      <c r="S10" s="344">
        <f>SUM(L10:R10)</f>
        <v>0</v>
      </c>
    </row>
    <row r="11" spans="1:19" ht="15" customHeight="1" thickBot="1" x14ac:dyDescent="0.3">
      <c r="A11" s="349" t="s">
        <v>258</v>
      </c>
      <c r="B11" s="350"/>
      <c r="C11" s="351"/>
      <c r="D11" s="352"/>
      <c r="E11" s="352"/>
      <c r="F11" s="352"/>
      <c r="G11" s="352"/>
      <c r="H11" s="352"/>
      <c r="I11" s="352"/>
      <c r="J11" s="352"/>
      <c r="K11" s="344">
        <f>SUM(K9:K10)</f>
        <v>0</v>
      </c>
      <c r="L11" s="353"/>
      <c r="M11" s="353"/>
      <c r="N11" s="353"/>
      <c r="O11" s="353"/>
      <c r="P11" s="353"/>
      <c r="Q11" s="353"/>
      <c r="R11" s="353"/>
      <c r="S11" s="354">
        <f>SUM(S9:S10)</f>
        <v>0</v>
      </c>
    </row>
    <row r="12" spans="1:19" x14ac:dyDescent="0.25">
      <c r="K12" s="355">
        <f>COUNTIF(A9:A10,"&gt;"&amp;0)</f>
        <v>0</v>
      </c>
      <c r="L12" s="316" t="s">
        <v>259</v>
      </c>
      <c r="M12" s="356"/>
      <c r="N12" s="357"/>
    </row>
    <row r="13" spans="1:19" x14ac:dyDescent="0.25">
      <c r="K13" s="358">
        <f>'Competition Parameters'!C6</f>
        <v>0.65</v>
      </c>
      <c r="L13" s="101" t="s">
        <v>260</v>
      </c>
      <c r="M13" s="359"/>
      <c r="N13" s="357"/>
    </row>
    <row r="14" spans="1:19" x14ac:dyDescent="0.25">
      <c r="K14" s="360" t="str">
        <f>IF(K11&lt;K15-K12*1,"Harsh",IF(K11&gt;K15+K12,"Generous","Neutral"))</f>
        <v>Neutral</v>
      </c>
      <c r="L14" s="316" t="s">
        <v>261</v>
      </c>
      <c r="M14" s="359"/>
      <c r="N14" s="357"/>
    </row>
    <row r="15" spans="1:19" x14ac:dyDescent="0.25">
      <c r="K15" s="51">
        <f>K7*K12*K13</f>
        <v>0</v>
      </c>
      <c r="L15" s="101" t="s">
        <v>180</v>
      </c>
      <c r="M15" s="359"/>
      <c r="N15" s="357"/>
    </row>
  </sheetData>
  <dataValidations count="1">
    <dataValidation type="decimal" allowBlank="1" showInputMessage="1" showErrorMessage="1" sqref="D9:J10" xr:uid="{CE494186-DB74-412A-8292-914E4C57D2B7}">
      <formula1>0</formula1>
      <formula2>5</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3B14-0C1D-4BA6-9E18-922A5876D4FD}">
  <sheetPr codeName="Sheet26">
    <tabColor theme="9" tint="0.79998168889431442"/>
  </sheetPr>
  <dimension ref="A1:AA103"/>
  <sheetViews>
    <sheetView zoomScale="145" zoomScaleNormal="145" workbookViewId="0">
      <pane ySplit="2" topLeftCell="A3" activePane="bottomLeft" state="frozen"/>
      <selection activeCell="B10" sqref="B10"/>
      <selection pane="bottomLeft" activeCell="B3" sqref="B3"/>
    </sheetView>
  </sheetViews>
  <sheetFormatPr defaultRowHeight="15" x14ac:dyDescent="0.25"/>
  <cols>
    <col min="1" max="1" width="13.5703125" customWidth="1"/>
    <col min="2" max="2" width="54.42578125" customWidth="1"/>
    <col min="3" max="3" width="13.42578125" style="4" customWidth="1"/>
    <col min="4" max="4" width="10.42578125" style="4" bestFit="1" customWidth="1"/>
    <col min="5" max="5" width="11.5703125" bestFit="1" customWidth="1"/>
    <col min="6" max="6" width="2.7109375" customWidth="1"/>
    <col min="7" max="12" width="29.5703125" customWidth="1"/>
    <col min="13" max="15" width="11.85546875" customWidth="1"/>
  </cols>
  <sheetData>
    <row r="1" spans="1:27" ht="15.75" x14ac:dyDescent="0.25">
      <c r="B1" s="42"/>
      <c r="C1" s="43" t="s">
        <v>54</v>
      </c>
      <c r="D1" s="43"/>
      <c r="E1" s="44"/>
      <c r="F1" s="44"/>
      <c r="G1" s="45" t="s">
        <v>55</v>
      </c>
      <c r="H1" s="46">
        <f>COUNTIF(B:B,"&lt;&gt;"&amp;"")-1</f>
        <v>7</v>
      </c>
      <c r="I1" s="44"/>
      <c r="J1" s="44"/>
      <c r="K1" s="44"/>
      <c r="L1" s="47"/>
    </row>
    <row r="2" spans="1:27" ht="30" x14ac:dyDescent="0.25">
      <c r="A2" s="48" t="s">
        <v>56</v>
      </c>
      <c r="B2" s="49" t="s">
        <v>57</v>
      </c>
      <c r="C2" s="48" t="s">
        <v>58</v>
      </c>
      <c r="D2" s="48" t="s">
        <v>59</v>
      </c>
      <c r="E2" s="48" t="s">
        <v>60</v>
      </c>
      <c r="F2" s="48"/>
      <c r="G2" s="5" t="s">
        <v>61</v>
      </c>
      <c r="H2" s="50">
        <f>SUMIF(B3:B6,"&lt;&gt;"&amp;"",D3:D6)</f>
        <v>12</v>
      </c>
      <c r="K2" s="4"/>
      <c r="L2" s="4"/>
      <c r="M2" s="4"/>
    </row>
    <row r="3" spans="1:27" ht="15.75" x14ac:dyDescent="0.25">
      <c r="A3" s="51">
        <v>1</v>
      </c>
      <c r="B3" s="4" t="s">
        <v>62</v>
      </c>
      <c r="C3" s="4">
        <v>1</v>
      </c>
      <c r="D3" s="4">
        <v>3</v>
      </c>
      <c r="E3" s="51" t="str">
        <f>C3 &amp; " to " &amp; D3</f>
        <v>1 to 3</v>
      </c>
      <c r="F3" s="52"/>
      <c r="G3" s="52" t="s">
        <v>63</v>
      </c>
      <c r="H3" s="50">
        <f>SUMIF(B3:B6,"&lt;&gt;"&amp;"",C3:C6)</f>
        <v>4</v>
      </c>
    </row>
    <row r="4" spans="1:27" x14ac:dyDescent="0.25">
      <c r="A4" s="51">
        <v>2</v>
      </c>
      <c r="B4" s="4" t="s">
        <v>64</v>
      </c>
      <c r="C4" s="4">
        <v>1</v>
      </c>
      <c r="D4" s="4">
        <v>3</v>
      </c>
      <c r="E4" s="51" t="str">
        <f t="shared" ref="E4:E11" si="0">C4 &amp; " to " &amp; D4</f>
        <v>1 to 3</v>
      </c>
      <c r="F4" s="52"/>
      <c r="G4" s="4"/>
    </row>
    <row r="5" spans="1:27" x14ac:dyDescent="0.25">
      <c r="A5" s="51">
        <v>3</v>
      </c>
      <c r="B5" s="4" t="s">
        <v>65</v>
      </c>
      <c r="C5" s="4">
        <v>1</v>
      </c>
      <c r="D5" s="4">
        <v>3</v>
      </c>
      <c r="E5" s="51" t="str">
        <f t="shared" si="0"/>
        <v>1 to 3</v>
      </c>
      <c r="F5" s="53"/>
      <c r="G5" s="379" t="s">
        <v>53</v>
      </c>
      <c r="H5" s="380"/>
    </row>
    <row r="6" spans="1:27" x14ac:dyDescent="0.25">
      <c r="A6" s="51">
        <v>4</v>
      </c>
      <c r="B6" s="4" t="s">
        <v>66</v>
      </c>
      <c r="C6" s="4">
        <v>1</v>
      </c>
      <c r="D6" s="4">
        <v>3</v>
      </c>
      <c r="E6" s="51" t="str">
        <f t="shared" si="0"/>
        <v>1 to 3</v>
      </c>
      <c r="F6" s="53"/>
      <c r="G6" s="379"/>
      <c r="H6" s="380"/>
    </row>
    <row r="7" spans="1:27" x14ac:dyDescent="0.25">
      <c r="A7" s="51">
        <v>5</v>
      </c>
      <c r="B7" s="4" t="s">
        <v>67</v>
      </c>
      <c r="C7" s="4">
        <v>1</v>
      </c>
      <c r="D7" s="4">
        <v>3</v>
      </c>
      <c r="E7" s="51" t="str">
        <f t="shared" si="0"/>
        <v>1 to 3</v>
      </c>
      <c r="F7" s="4"/>
      <c r="G7" s="4"/>
      <c r="H7" s="4"/>
      <c r="I7" s="4"/>
      <c r="J7" s="4"/>
      <c r="K7" s="4"/>
      <c r="M7" s="4"/>
      <c r="N7" s="4"/>
      <c r="O7" s="4"/>
    </row>
    <row r="8" spans="1:27" x14ac:dyDescent="0.25">
      <c r="A8" s="51">
        <v>6</v>
      </c>
      <c r="B8" s="4" t="s">
        <v>68</v>
      </c>
      <c r="C8" s="4">
        <v>1</v>
      </c>
      <c r="D8" s="4">
        <v>3</v>
      </c>
      <c r="E8" s="51" t="str">
        <f t="shared" si="0"/>
        <v>1 to 3</v>
      </c>
      <c r="G8" s="381" t="s">
        <v>69</v>
      </c>
      <c r="H8" s="381"/>
      <c r="I8" s="381"/>
      <c r="J8" s="42" t="s">
        <v>70</v>
      </c>
      <c r="K8" s="52"/>
      <c r="L8" s="54"/>
      <c r="M8" s="55"/>
      <c r="N8" s="55"/>
      <c r="O8" s="55"/>
      <c r="P8" s="54"/>
      <c r="Q8" s="54"/>
      <c r="R8" s="54"/>
      <c r="S8" s="54"/>
      <c r="T8" s="54"/>
      <c r="U8" s="54"/>
      <c r="V8" s="54"/>
      <c r="W8" s="54"/>
      <c r="X8" s="54"/>
      <c r="Y8" s="54"/>
      <c r="Z8" s="54"/>
      <c r="AA8" s="54"/>
    </row>
    <row r="9" spans="1:27" x14ac:dyDescent="0.25">
      <c r="A9" s="51">
        <v>7</v>
      </c>
      <c r="B9" s="4" t="s">
        <v>71</v>
      </c>
      <c r="C9" s="4">
        <v>1</v>
      </c>
      <c r="D9" s="4">
        <v>3</v>
      </c>
      <c r="E9" s="51" t="str">
        <f t="shared" si="0"/>
        <v>1 to 3</v>
      </c>
      <c r="G9" s="48" t="str">
        <f>A2</f>
        <v>Criteria #</v>
      </c>
      <c r="H9" s="51">
        <f>A3</f>
        <v>1</v>
      </c>
      <c r="I9" s="51">
        <f>A4</f>
        <v>2</v>
      </c>
      <c r="J9" s="51">
        <f>A5</f>
        <v>3</v>
      </c>
      <c r="K9" s="51">
        <f>A6</f>
        <v>4</v>
      </c>
      <c r="L9" s="51">
        <f>A7</f>
        <v>5</v>
      </c>
      <c r="M9" s="51">
        <f>A8</f>
        <v>6</v>
      </c>
      <c r="N9" s="51">
        <f>A9</f>
        <v>7</v>
      </c>
      <c r="O9" s="57"/>
      <c r="P9" s="56"/>
      <c r="Q9" s="56"/>
      <c r="R9" s="56"/>
      <c r="S9" s="51"/>
      <c r="T9" s="56"/>
      <c r="U9" s="56"/>
      <c r="V9" s="56"/>
      <c r="W9" s="56"/>
      <c r="X9" s="56"/>
      <c r="Y9" s="56"/>
      <c r="Z9" s="56"/>
      <c r="AA9" s="56"/>
    </row>
    <row r="10" spans="1:27" ht="30" x14ac:dyDescent="0.25">
      <c r="A10" s="51">
        <v>8</v>
      </c>
      <c r="C10"/>
      <c r="D10"/>
      <c r="E10" s="51" t="str">
        <f t="shared" si="0"/>
        <v xml:space="preserve"> to </v>
      </c>
      <c r="F10" s="58"/>
      <c r="G10" s="49" t="str">
        <f>B2</f>
        <v>Criteria Names 
(keep these short)</v>
      </c>
      <c r="H10" s="52" t="str">
        <f>B3</f>
        <v>Criteria 1</v>
      </c>
      <c r="I10" s="52" t="str">
        <f>B4</f>
        <v>Criteria 2</v>
      </c>
      <c r="J10" s="52" t="str">
        <f>B5</f>
        <v>Criteria 3</v>
      </c>
      <c r="K10" s="52" t="str">
        <f>B6</f>
        <v>Criteria 4</v>
      </c>
      <c r="L10" s="52" t="str">
        <f>B7</f>
        <v>Criteria 5</v>
      </c>
      <c r="M10" s="52" t="str">
        <f>B8</f>
        <v>Criteria 6</v>
      </c>
      <c r="N10" s="52" t="str">
        <f>B9</f>
        <v>Criteria 7</v>
      </c>
      <c r="O10" s="57"/>
      <c r="P10" s="56"/>
      <c r="Q10" s="56"/>
      <c r="R10" s="56"/>
      <c r="S10" s="51"/>
      <c r="T10" s="56"/>
      <c r="U10" s="56"/>
      <c r="V10" s="56"/>
      <c r="W10" s="56"/>
      <c r="X10" s="56"/>
      <c r="Y10" s="56"/>
      <c r="Z10" s="56"/>
      <c r="AA10" s="56"/>
    </row>
    <row r="11" spans="1:27" s="58" customFormat="1" ht="28.5" customHeight="1" x14ac:dyDescent="0.25">
      <c r="A11" s="51">
        <v>9</v>
      </c>
      <c r="B11"/>
      <c r="C11"/>
      <c r="D11"/>
      <c r="E11" s="51" t="str">
        <f t="shared" si="0"/>
        <v xml:space="preserve"> to </v>
      </c>
      <c r="F11"/>
      <c r="G11" s="48" t="str">
        <f>C2</f>
        <v>Min value</v>
      </c>
      <c r="H11" s="52">
        <f>C3</f>
        <v>1</v>
      </c>
      <c r="I11" s="52">
        <f>C4</f>
        <v>1</v>
      </c>
      <c r="J11" s="52">
        <f>C5</f>
        <v>1</v>
      </c>
      <c r="K11" s="52">
        <f>C6</f>
        <v>1</v>
      </c>
      <c r="L11" s="52">
        <f>C7</f>
        <v>1</v>
      </c>
      <c r="M11" s="52">
        <f>C8</f>
        <v>1</v>
      </c>
      <c r="N11" s="52">
        <f>C9</f>
        <v>1</v>
      </c>
      <c r="O11" s="57"/>
      <c r="P11" s="56"/>
      <c r="Q11" s="56"/>
      <c r="R11" s="56"/>
      <c r="S11" s="51"/>
      <c r="T11" s="56"/>
      <c r="U11" s="56"/>
      <c r="V11" s="56"/>
      <c r="W11" s="56"/>
      <c r="X11" s="56"/>
      <c r="Y11" s="56"/>
      <c r="Z11" s="57"/>
      <c r="AA11" s="57"/>
    </row>
    <row r="12" spans="1:27" x14ac:dyDescent="0.25">
      <c r="C12"/>
      <c r="D12"/>
      <c r="G12" s="48" t="str">
        <f>D2</f>
        <v>Max Value</v>
      </c>
      <c r="H12" s="52">
        <f>D3</f>
        <v>3</v>
      </c>
      <c r="I12" s="52">
        <f>D4</f>
        <v>3</v>
      </c>
      <c r="J12" s="52">
        <f>D5</f>
        <v>3</v>
      </c>
      <c r="K12" s="52">
        <f>D6</f>
        <v>3</v>
      </c>
      <c r="L12" s="52">
        <f>D7</f>
        <v>3</v>
      </c>
      <c r="M12" s="52">
        <f>D8</f>
        <v>3</v>
      </c>
      <c r="N12" s="52">
        <f>D9</f>
        <v>3</v>
      </c>
      <c r="O12" s="57"/>
      <c r="P12" s="56"/>
      <c r="Q12" s="56"/>
      <c r="R12" s="56"/>
      <c r="S12" s="51"/>
      <c r="T12" s="56"/>
      <c r="U12" s="56"/>
      <c r="V12" s="56"/>
      <c r="W12" s="56"/>
      <c r="X12" s="56"/>
      <c r="Y12" s="56"/>
      <c r="Z12" s="56"/>
      <c r="AA12" s="56"/>
    </row>
    <row r="13" spans="1:27" x14ac:dyDescent="0.25">
      <c r="C13"/>
      <c r="D13"/>
      <c r="G13" s="48" t="str">
        <f>E2</f>
        <v>Score Limits</v>
      </c>
      <c r="H13" s="51" t="str">
        <f>E3</f>
        <v>1 to 3</v>
      </c>
      <c r="I13" s="51" t="str">
        <f>E4</f>
        <v>1 to 3</v>
      </c>
      <c r="J13" s="51" t="str">
        <f>E5</f>
        <v>1 to 3</v>
      </c>
      <c r="K13" s="51" t="str">
        <f>E6</f>
        <v>1 to 3</v>
      </c>
      <c r="L13" s="51" t="str">
        <f>E7</f>
        <v>1 to 3</v>
      </c>
      <c r="M13" s="51" t="str">
        <f>E8</f>
        <v>1 to 3</v>
      </c>
      <c r="N13" s="51" t="str">
        <f>E9</f>
        <v>1 to 3</v>
      </c>
      <c r="O13" s="57"/>
      <c r="P13" s="56"/>
      <c r="Q13" s="56"/>
      <c r="R13" s="56"/>
      <c r="S13" s="51"/>
      <c r="T13" s="56"/>
      <c r="U13" s="56"/>
      <c r="V13" s="56"/>
      <c r="W13" s="56"/>
      <c r="X13" s="56"/>
      <c r="Y13" s="56"/>
      <c r="Z13" s="56"/>
      <c r="AA13" s="56"/>
    </row>
    <row r="14" spans="1:27" x14ac:dyDescent="0.25">
      <c r="C14"/>
      <c r="D14"/>
    </row>
    <row r="15" spans="1:27" x14ac:dyDescent="0.25">
      <c r="C15"/>
      <c r="D15"/>
    </row>
    <row r="16" spans="1:27"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row r="101" spans="3:4" x14ac:dyDescent="0.25">
      <c r="C101"/>
      <c r="D101"/>
    </row>
    <row r="102" spans="3:4" x14ac:dyDescent="0.25">
      <c r="C102"/>
      <c r="D102"/>
    </row>
    <row r="103" spans="3:4" x14ac:dyDescent="0.25">
      <c r="C103"/>
      <c r="D103"/>
    </row>
  </sheetData>
  <mergeCells count="2">
    <mergeCell ref="G5:H6"/>
    <mergeCell ref="G8:I8"/>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786B6-9981-443C-9EBB-0DFBE3170D0B}">
  <sheetPr codeName="Sheet28">
    <tabColor theme="5" tint="0.79998168889431442"/>
  </sheetPr>
  <dimension ref="A1:K35"/>
  <sheetViews>
    <sheetView zoomScale="115" zoomScaleNormal="115" workbookViewId="0">
      <pane ySplit="3" topLeftCell="A6" activePane="bottomLeft" state="frozen"/>
      <selection activeCell="A10" sqref="A10:K10"/>
      <selection pane="bottomLeft" activeCell="A10" sqref="A10:K10"/>
    </sheetView>
  </sheetViews>
  <sheetFormatPr defaultRowHeight="15" x14ac:dyDescent="0.25"/>
  <cols>
    <col min="1" max="1" width="13.5703125" customWidth="1"/>
    <col min="3" max="3" width="13.7109375" customWidth="1"/>
    <col min="4" max="11" width="6.5703125" customWidth="1"/>
    <col min="12" max="12" width="5.42578125" customWidth="1"/>
  </cols>
  <sheetData>
    <row r="1" spans="1:11" ht="39" customHeight="1" thickBot="1" x14ac:dyDescent="0.3">
      <c r="A1" s="361" t="s">
        <v>226</v>
      </c>
      <c r="B1" s="451" t="str">
        <f>'Competition Parameters'!C7</f>
        <v>AN EXCITING PROGRAM/COMPETITION</v>
      </c>
      <c r="C1" s="451"/>
      <c r="D1" s="451"/>
      <c r="E1" s="451"/>
      <c r="F1" s="451"/>
      <c r="G1" s="451"/>
      <c r="H1" s="452" t="s">
        <v>262</v>
      </c>
      <c r="I1" s="453"/>
      <c r="J1" s="453"/>
      <c r="K1" s="454"/>
    </row>
    <row r="2" spans="1:11" ht="16.5" customHeight="1" thickBot="1" x14ac:dyDescent="0.3">
      <c r="A2" s="362" t="s">
        <v>223</v>
      </c>
      <c r="B2" s="363"/>
      <c r="C2" s="299"/>
      <c r="D2" s="299"/>
      <c r="E2" s="297"/>
      <c r="F2" s="297"/>
      <c r="G2" s="297"/>
      <c r="H2" s="297"/>
      <c r="I2" s="297"/>
      <c r="J2" s="297"/>
      <c r="K2" s="364"/>
    </row>
    <row r="3" spans="1:11" ht="34.5" customHeight="1" thickBot="1" x14ac:dyDescent="0.3">
      <c r="A3" s="365" t="s">
        <v>230</v>
      </c>
      <c r="B3" s="455" t="e">
        <f>VLOOKUP(B2,Projects!A:B,2,FALSE)</f>
        <v>#N/A</v>
      </c>
      <c r="C3" s="455"/>
      <c r="D3" s="455"/>
      <c r="E3" s="455"/>
      <c r="F3" s="455"/>
      <c r="G3" s="455"/>
      <c r="H3" s="455"/>
      <c r="I3" s="455"/>
      <c r="J3" s="455"/>
      <c r="K3" s="456"/>
    </row>
    <row r="4" spans="1:11" x14ac:dyDescent="0.25">
      <c r="A4" s="457" t="s">
        <v>263</v>
      </c>
      <c r="B4" s="424"/>
      <c r="C4" s="424"/>
      <c r="D4" s="424"/>
      <c r="E4" s="424"/>
      <c r="F4" s="424"/>
      <c r="G4" s="424"/>
      <c r="H4" s="424"/>
      <c r="I4" s="424"/>
      <c r="J4" s="424"/>
      <c r="K4" s="458"/>
    </row>
    <row r="5" spans="1:11" ht="93" customHeight="1" thickBot="1" x14ac:dyDescent="0.3">
      <c r="A5" s="448"/>
      <c r="B5" s="449"/>
      <c r="C5" s="449"/>
      <c r="D5" s="449"/>
      <c r="E5" s="449"/>
      <c r="F5" s="449"/>
      <c r="G5" s="449"/>
      <c r="H5" s="449"/>
      <c r="I5" s="449"/>
      <c r="J5" s="449"/>
      <c r="K5" s="450"/>
    </row>
    <row r="6" spans="1:11" ht="8.25" customHeight="1" thickBot="1" x14ac:dyDescent="0.3">
      <c r="A6" s="459"/>
      <c r="B6" s="418"/>
      <c r="C6" s="418"/>
      <c r="D6" s="418"/>
      <c r="E6" s="418"/>
      <c r="F6" s="418"/>
      <c r="G6" s="418"/>
      <c r="H6" s="418"/>
      <c r="I6" s="418"/>
      <c r="J6" s="418"/>
      <c r="K6" s="460"/>
    </row>
    <row r="7" spans="1:11" x14ac:dyDescent="0.25">
      <c r="A7" s="307" t="s">
        <v>56</v>
      </c>
      <c r="B7" s="308">
        <v>1</v>
      </c>
      <c r="C7" s="309" t="s">
        <v>264</v>
      </c>
      <c r="D7" s="443" t="str">
        <f>VLOOKUP('Project Comments - template'!B7,Criteria!$A:$B,2,FALSE)</f>
        <v>Criteria 1</v>
      </c>
      <c r="E7" s="444"/>
      <c r="F7" s="444"/>
      <c r="G7" s="444"/>
      <c r="H7" s="444"/>
      <c r="I7" s="444"/>
      <c r="J7" s="444"/>
      <c r="K7" s="445"/>
    </row>
    <row r="8" spans="1:11" x14ac:dyDescent="0.25">
      <c r="A8" s="446" t="s">
        <v>265</v>
      </c>
      <c r="B8" s="446"/>
      <c r="C8" s="446"/>
      <c r="D8" s="446"/>
      <c r="E8" s="446"/>
      <c r="F8" s="446"/>
      <c r="G8" s="446"/>
      <c r="H8" s="446"/>
      <c r="I8" s="446"/>
      <c r="J8" s="446"/>
      <c r="K8" s="447"/>
    </row>
    <row r="9" spans="1:11" ht="79.5" customHeight="1" thickBot="1" x14ac:dyDescent="0.3">
      <c r="A9" s="448"/>
      <c r="B9" s="449"/>
      <c r="C9" s="449"/>
      <c r="D9" s="449"/>
      <c r="E9" s="449"/>
      <c r="F9" s="449"/>
      <c r="G9" s="449"/>
      <c r="H9" s="449"/>
      <c r="I9" s="449"/>
      <c r="J9" s="449"/>
      <c r="K9" s="450"/>
    </row>
    <row r="10" spans="1:11" ht="8.25" customHeight="1" thickBot="1" x14ac:dyDescent="0.3">
      <c r="A10" s="440"/>
      <c r="B10" s="441"/>
      <c r="C10" s="441"/>
      <c r="D10" s="441"/>
      <c r="E10" s="441"/>
      <c r="F10" s="441"/>
      <c r="G10" s="441"/>
      <c r="H10" s="441"/>
      <c r="I10" s="441"/>
      <c r="J10" s="441"/>
      <c r="K10" s="442"/>
    </row>
    <row r="11" spans="1:11" x14ac:dyDescent="0.25">
      <c r="A11" s="307" t="s">
        <v>56</v>
      </c>
      <c r="B11" s="308">
        <f>B7+1</f>
        <v>2</v>
      </c>
      <c r="C11" s="309" t="s">
        <v>264</v>
      </c>
      <c r="D11" s="443" t="str">
        <f>VLOOKUP('Project Comments - template'!B11,Criteria!$A:$B,2,FALSE)</f>
        <v>Criteria 2</v>
      </c>
      <c r="E11" s="444"/>
      <c r="F11" s="444"/>
      <c r="G11" s="444"/>
      <c r="H11" s="444"/>
      <c r="I11" s="444"/>
      <c r="J11" s="444"/>
      <c r="K11" s="445"/>
    </row>
    <row r="12" spans="1:11" x14ac:dyDescent="0.25">
      <c r="A12" s="446" t="s">
        <v>265</v>
      </c>
      <c r="B12" s="446"/>
      <c r="C12" s="446"/>
      <c r="D12" s="446"/>
      <c r="E12" s="446"/>
      <c r="F12" s="446"/>
      <c r="G12" s="446"/>
      <c r="H12" s="446"/>
      <c r="I12" s="446"/>
      <c r="J12" s="446"/>
      <c r="K12" s="447"/>
    </row>
    <row r="13" spans="1:11" ht="95.1" customHeight="1" thickBot="1" x14ac:dyDescent="0.3">
      <c r="A13" s="448"/>
      <c r="B13" s="449"/>
      <c r="C13" s="449"/>
      <c r="D13" s="449"/>
      <c r="E13" s="449"/>
      <c r="F13" s="449"/>
      <c r="G13" s="449"/>
      <c r="H13" s="449"/>
      <c r="I13" s="449"/>
      <c r="J13" s="449"/>
      <c r="K13" s="450"/>
    </row>
    <row r="14" spans="1:11" ht="8.25" customHeight="1" thickBot="1" x14ac:dyDescent="0.3">
      <c r="A14" s="440"/>
      <c r="B14" s="441"/>
      <c r="C14" s="441"/>
      <c r="D14" s="441"/>
      <c r="E14" s="441"/>
      <c r="F14" s="441"/>
      <c r="G14" s="441"/>
      <c r="H14" s="441"/>
      <c r="I14" s="441"/>
      <c r="J14" s="441"/>
      <c r="K14" s="442"/>
    </row>
    <row r="15" spans="1:11" x14ac:dyDescent="0.25">
      <c r="A15" s="307" t="s">
        <v>56</v>
      </c>
      <c r="B15" s="308">
        <f>B11+1</f>
        <v>3</v>
      </c>
      <c r="C15" s="309" t="s">
        <v>264</v>
      </c>
      <c r="D15" s="443" t="str">
        <f>VLOOKUP('Project Comments - template'!B15,Criteria!$A:$B,2,FALSE)</f>
        <v>Criteria 3</v>
      </c>
      <c r="E15" s="444"/>
      <c r="F15" s="444"/>
      <c r="G15" s="444"/>
      <c r="H15" s="444"/>
      <c r="I15" s="444"/>
      <c r="J15" s="444"/>
      <c r="K15" s="445"/>
    </row>
    <row r="16" spans="1:11" x14ac:dyDescent="0.25">
      <c r="A16" s="446" t="s">
        <v>265</v>
      </c>
      <c r="B16" s="446"/>
      <c r="C16" s="446"/>
      <c r="D16" s="446"/>
      <c r="E16" s="446"/>
      <c r="F16" s="446"/>
      <c r="G16" s="446"/>
      <c r="H16" s="446"/>
      <c r="I16" s="446"/>
      <c r="J16" s="446"/>
      <c r="K16" s="447"/>
    </row>
    <row r="17" spans="1:11" ht="95.1" customHeight="1" thickBot="1" x14ac:dyDescent="0.3">
      <c r="A17" s="448"/>
      <c r="B17" s="449"/>
      <c r="C17" s="449"/>
      <c r="D17" s="449"/>
      <c r="E17" s="449"/>
      <c r="F17" s="449"/>
      <c r="G17" s="449"/>
      <c r="H17" s="449"/>
      <c r="I17" s="449"/>
      <c r="J17" s="449"/>
      <c r="K17" s="450"/>
    </row>
    <row r="18" spans="1:11" ht="8.25" customHeight="1" thickBot="1" x14ac:dyDescent="0.3">
      <c r="A18" s="440"/>
      <c r="B18" s="441"/>
      <c r="C18" s="441"/>
      <c r="D18" s="441"/>
      <c r="E18" s="441"/>
      <c r="F18" s="441"/>
      <c r="G18" s="441"/>
      <c r="H18" s="441"/>
      <c r="I18" s="441"/>
      <c r="J18" s="441"/>
      <c r="K18" s="442"/>
    </row>
    <row r="19" spans="1:11" x14ac:dyDescent="0.25">
      <c r="A19" s="307" t="s">
        <v>56</v>
      </c>
      <c r="B19" s="308">
        <f>B15+1</f>
        <v>4</v>
      </c>
      <c r="C19" s="309" t="s">
        <v>264</v>
      </c>
      <c r="D19" s="443" t="str">
        <f>VLOOKUP('Project Comments - template'!B19,Criteria!$A:$B,2,FALSE)</f>
        <v>Criteria 4</v>
      </c>
      <c r="E19" s="444"/>
      <c r="F19" s="444"/>
      <c r="G19" s="444"/>
      <c r="H19" s="444"/>
      <c r="I19" s="444"/>
      <c r="J19" s="444"/>
      <c r="K19" s="445"/>
    </row>
    <row r="20" spans="1:11" x14ac:dyDescent="0.25">
      <c r="A20" s="446" t="s">
        <v>265</v>
      </c>
      <c r="B20" s="446"/>
      <c r="C20" s="446"/>
      <c r="D20" s="446"/>
      <c r="E20" s="446"/>
      <c r="F20" s="446"/>
      <c r="G20" s="446"/>
      <c r="H20" s="446"/>
      <c r="I20" s="446"/>
      <c r="J20" s="446"/>
      <c r="K20" s="447"/>
    </row>
    <row r="21" spans="1:11" ht="95.1" customHeight="1" thickBot="1" x14ac:dyDescent="0.3">
      <c r="A21" s="448"/>
      <c r="B21" s="449"/>
      <c r="C21" s="449"/>
      <c r="D21" s="449"/>
      <c r="E21" s="449"/>
      <c r="F21" s="449"/>
      <c r="G21" s="449"/>
      <c r="H21" s="449"/>
      <c r="I21" s="449"/>
      <c r="J21" s="449"/>
      <c r="K21" s="450"/>
    </row>
    <row r="22" spans="1:11" ht="8.25" customHeight="1" thickBot="1" x14ac:dyDescent="0.3">
      <c r="A22" s="440"/>
      <c r="B22" s="441"/>
      <c r="C22" s="441"/>
      <c r="D22" s="441"/>
      <c r="E22" s="441"/>
      <c r="F22" s="441"/>
      <c r="G22" s="441"/>
      <c r="H22" s="441"/>
      <c r="I22" s="441"/>
      <c r="J22" s="441"/>
      <c r="K22" s="442"/>
    </row>
    <row r="23" spans="1:11" x14ac:dyDescent="0.25">
      <c r="A23" s="307" t="s">
        <v>56</v>
      </c>
      <c r="B23" s="308">
        <f>B19+1</f>
        <v>5</v>
      </c>
      <c r="C23" s="309" t="s">
        <v>264</v>
      </c>
      <c r="D23" s="443" t="str">
        <f>VLOOKUP('Project Comments - template'!B23,Criteria!$A:$B,2,FALSE)</f>
        <v>Criteria 5</v>
      </c>
      <c r="E23" s="444"/>
      <c r="F23" s="444"/>
      <c r="G23" s="444"/>
      <c r="H23" s="444"/>
      <c r="I23" s="444"/>
      <c r="J23" s="444"/>
      <c r="K23" s="445"/>
    </row>
    <row r="24" spans="1:11" x14ac:dyDescent="0.25">
      <c r="A24" s="446" t="s">
        <v>265</v>
      </c>
      <c r="B24" s="446"/>
      <c r="C24" s="446"/>
      <c r="D24" s="446"/>
      <c r="E24" s="446"/>
      <c r="F24" s="446"/>
      <c r="G24" s="446"/>
      <c r="H24" s="446"/>
      <c r="I24" s="446"/>
      <c r="J24" s="446"/>
      <c r="K24" s="447"/>
    </row>
    <row r="25" spans="1:11" ht="95.1" customHeight="1" thickBot="1" x14ac:dyDescent="0.3">
      <c r="A25" s="448"/>
      <c r="B25" s="449"/>
      <c r="C25" s="449"/>
      <c r="D25" s="449"/>
      <c r="E25" s="449"/>
      <c r="F25" s="449"/>
      <c r="G25" s="449"/>
      <c r="H25" s="449"/>
      <c r="I25" s="449"/>
      <c r="J25" s="449"/>
      <c r="K25" s="450"/>
    </row>
    <row r="26" spans="1:11" ht="8.25" customHeight="1" thickBot="1" x14ac:dyDescent="0.3">
      <c r="A26" s="440"/>
      <c r="B26" s="441"/>
      <c r="C26" s="441"/>
      <c r="D26" s="441"/>
      <c r="E26" s="441"/>
      <c r="F26" s="441"/>
      <c r="G26" s="441"/>
      <c r="H26" s="441"/>
      <c r="I26" s="441"/>
      <c r="J26" s="441"/>
      <c r="K26" s="442"/>
    </row>
    <row r="27" spans="1:11" x14ac:dyDescent="0.25">
      <c r="A27" s="307" t="s">
        <v>56</v>
      </c>
      <c r="B27" s="308">
        <f>B23+1</f>
        <v>6</v>
      </c>
      <c r="C27" s="309" t="s">
        <v>264</v>
      </c>
      <c r="D27" s="443" t="str">
        <f>VLOOKUP('Project Comments - template'!B27,Criteria!$A:$B,2,FALSE)</f>
        <v>Criteria 6</v>
      </c>
      <c r="E27" s="444"/>
      <c r="F27" s="444"/>
      <c r="G27" s="444"/>
      <c r="H27" s="444"/>
      <c r="I27" s="444"/>
      <c r="J27" s="444"/>
      <c r="K27" s="445"/>
    </row>
    <row r="28" spans="1:11" x14ac:dyDescent="0.25">
      <c r="A28" s="446" t="s">
        <v>265</v>
      </c>
      <c r="B28" s="446"/>
      <c r="C28" s="446"/>
      <c r="D28" s="446"/>
      <c r="E28" s="446"/>
      <c r="F28" s="446"/>
      <c r="G28" s="446"/>
      <c r="H28" s="446"/>
      <c r="I28" s="446"/>
      <c r="J28" s="446"/>
      <c r="K28" s="447"/>
    </row>
    <row r="29" spans="1:11" ht="95.1" customHeight="1" thickBot="1" x14ac:dyDescent="0.3">
      <c r="A29" s="448"/>
      <c r="B29" s="449"/>
      <c r="C29" s="449"/>
      <c r="D29" s="449"/>
      <c r="E29" s="449"/>
      <c r="F29" s="449"/>
      <c r="G29" s="449"/>
      <c r="H29" s="449"/>
      <c r="I29" s="449"/>
      <c r="J29" s="449"/>
      <c r="K29" s="450"/>
    </row>
    <row r="30" spans="1:11" ht="8.25" customHeight="1" thickBot="1" x14ac:dyDescent="0.3">
      <c r="A30" s="440"/>
      <c r="B30" s="441"/>
      <c r="C30" s="441"/>
      <c r="D30" s="441"/>
      <c r="E30" s="441"/>
      <c r="F30" s="441"/>
      <c r="G30" s="441"/>
      <c r="H30" s="441"/>
      <c r="I30" s="441"/>
      <c r="J30" s="441"/>
      <c r="K30" s="442"/>
    </row>
    <row r="31" spans="1:11" x14ac:dyDescent="0.25">
      <c r="A31" s="307" t="s">
        <v>56</v>
      </c>
      <c r="B31" s="308">
        <f>B27+1</f>
        <v>7</v>
      </c>
      <c r="C31" s="309" t="s">
        <v>264</v>
      </c>
      <c r="D31" s="443" t="str">
        <f>VLOOKUP('Project Comments - template'!B31,Criteria!$A:$B,2,FALSE)</f>
        <v>Criteria 7</v>
      </c>
      <c r="E31" s="444"/>
      <c r="F31" s="444"/>
      <c r="G31" s="444"/>
      <c r="H31" s="444"/>
      <c r="I31" s="444"/>
      <c r="J31" s="444"/>
      <c r="K31" s="445"/>
    </row>
    <row r="32" spans="1:11" x14ac:dyDescent="0.25">
      <c r="A32" s="446" t="s">
        <v>265</v>
      </c>
      <c r="B32" s="446"/>
      <c r="C32" s="446"/>
      <c r="D32" s="446"/>
      <c r="E32" s="446"/>
      <c r="F32" s="446"/>
      <c r="G32" s="446"/>
      <c r="H32" s="446"/>
      <c r="I32" s="446"/>
      <c r="J32" s="446"/>
      <c r="K32" s="447"/>
    </row>
    <row r="33" spans="1:11" ht="95.1" customHeight="1" thickBot="1" x14ac:dyDescent="0.3">
      <c r="A33" s="448"/>
      <c r="B33" s="449"/>
      <c r="C33" s="449"/>
      <c r="D33" s="449"/>
      <c r="E33" s="449"/>
      <c r="F33" s="449"/>
      <c r="G33" s="449"/>
      <c r="H33" s="449"/>
      <c r="I33" s="449"/>
      <c r="J33" s="449"/>
      <c r="K33" s="450"/>
    </row>
    <row r="34" spans="1:11" ht="20.100000000000001" customHeight="1" thickBot="1" x14ac:dyDescent="0.3">
      <c r="A34" s="440" t="s">
        <v>266</v>
      </c>
      <c r="B34" s="441"/>
      <c r="C34" s="441"/>
      <c r="D34" s="441"/>
      <c r="E34" s="441"/>
      <c r="F34" s="441"/>
      <c r="G34" s="441"/>
      <c r="H34" s="441"/>
      <c r="I34" s="441"/>
      <c r="J34" s="441"/>
      <c r="K34" s="442"/>
    </row>
    <row r="35" spans="1:11" ht="20.100000000000001" customHeight="1" x14ac:dyDescent="0.25"/>
  </sheetData>
  <mergeCells count="34">
    <mergeCell ref="A6:K6"/>
    <mergeCell ref="B1:G1"/>
    <mergeCell ref="H1:K1"/>
    <mergeCell ref="B3:K3"/>
    <mergeCell ref="A4:K4"/>
    <mergeCell ref="A5:K5"/>
    <mergeCell ref="A17:K17"/>
    <mergeCell ref="D7:K7"/>
    <mergeCell ref="A8:K8"/>
    <mergeCell ref="A9:K9"/>
    <mergeCell ref="A10:K10"/>
    <mergeCell ref="D11:K11"/>
    <mergeCell ref="A12:K12"/>
    <mergeCell ref="A13:K13"/>
    <mergeCell ref="A14:K14"/>
    <mergeCell ref="D15:K15"/>
    <mergeCell ref="A16:K16"/>
    <mergeCell ref="A29:K29"/>
    <mergeCell ref="A18:K18"/>
    <mergeCell ref="D19:K19"/>
    <mergeCell ref="A20:K20"/>
    <mergeCell ref="A21:K21"/>
    <mergeCell ref="A22:K22"/>
    <mergeCell ref="D23:K23"/>
    <mergeCell ref="A24:K24"/>
    <mergeCell ref="A25:K25"/>
    <mergeCell ref="A26:K26"/>
    <mergeCell ref="D27:K27"/>
    <mergeCell ref="A28:K28"/>
    <mergeCell ref="A30:K30"/>
    <mergeCell ref="D31:K31"/>
    <mergeCell ref="A32:K32"/>
    <mergeCell ref="A33:K33"/>
    <mergeCell ref="A34:K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342E6-1556-4CE5-8AC0-4ECB450FFC16}">
  <sheetPr codeName="Sheet2">
    <tabColor theme="9" tint="0.79998168889431442"/>
  </sheetPr>
  <dimension ref="A1:M200"/>
  <sheetViews>
    <sheetView zoomScale="130" zoomScaleNormal="130" workbookViewId="0">
      <pane ySplit="2" topLeftCell="A3" activePane="bottomLeft" state="frozen"/>
      <selection activeCell="B10" sqref="B10"/>
      <selection pane="bottomLeft" activeCell="B10" sqref="B10"/>
    </sheetView>
  </sheetViews>
  <sheetFormatPr defaultRowHeight="15" x14ac:dyDescent="0.25"/>
  <cols>
    <col min="1" max="1" width="5.42578125" style="4" bestFit="1" customWidth="1"/>
    <col min="2" max="2" width="12.140625" customWidth="1"/>
    <col min="3" max="3" width="26.85546875" customWidth="1"/>
    <col min="4" max="4" width="22" style="58" bestFit="1" customWidth="1"/>
    <col min="5" max="5" width="22.28515625" bestFit="1" customWidth="1"/>
    <col min="6" max="6" width="28" style="58" customWidth="1"/>
    <col min="7" max="10" width="7.42578125" style="47" customWidth="1"/>
    <col min="11" max="11" width="18.42578125" bestFit="1" customWidth="1"/>
  </cols>
  <sheetData>
    <row r="1" spans="1:13" s="69" customFormat="1" x14ac:dyDescent="0.25">
      <c r="A1" s="382" t="s">
        <v>72</v>
      </c>
      <c r="B1" s="61" t="str">
        <f>"Competition Name: " &amp;'Competition Parameters'!C7</f>
        <v>Competition Name: AN EXCITING PROGRAM/COMPETITION</v>
      </c>
      <c r="C1" s="62"/>
      <c r="D1" s="63"/>
      <c r="E1" s="62"/>
      <c r="F1" s="64"/>
      <c r="G1" s="384" t="s">
        <v>73</v>
      </c>
      <c r="H1" s="65"/>
      <c r="I1" s="66" t="s">
        <v>74</v>
      </c>
      <c r="J1" s="67"/>
      <c r="K1" s="68" t="s">
        <v>75</v>
      </c>
      <c r="L1" s="48">
        <f>COUNTIF(B:B,"&lt;&gt;"&amp;"")-2</f>
        <v>10</v>
      </c>
      <c r="M1" s="68"/>
    </row>
    <row r="2" spans="1:13" s="76" customFormat="1" ht="61.5" customHeight="1" x14ac:dyDescent="0.25">
      <c r="A2" s="383"/>
      <c r="B2" s="70" t="s">
        <v>76</v>
      </c>
      <c r="C2" s="70" t="s">
        <v>77</v>
      </c>
      <c r="D2" s="71" t="s">
        <v>78</v>
      </c>
      <c r="E2" s="70" t="s">
        <v>79</v>
      </c>
      <c r="F2" s="72" t="s">
        <v>80</v>
      </c>
      <c r="G2" s="385"/>
      <c r="H2" s="73" t="s">
        <v>81</v>
      </c>
      <c r="I2" s="74" t="s">
        <v>82</v>
      </c>
      <c r="J2" s="75" t="s">
        <v>83</v>
      </c>
      <c r="K2" s="386" t="s">
        <v>53</v>
      </c>
      <c r="L2" s="387"/>
      <c r="M2" s="388"/>
    </row>
    <row r="3" spans="1:13" x14ac:dyDescent="0.25">
      <c r="A3" s="16">
        <v>1</v>
      </c>
      <c r="B3" t="s">
        <v>84</v>
      </c>
      <c r="D3"/>
      <c r="F3"/>
      <c r="G3">
        <v>1</v>
      </c>
      <c r="H3"/>
      <c r="I3"/>
      <c r="J3"/>
    </row>
    <row r="4" spans="1:13" x14ac:dyDescent="0.25">
      <c r="A4" s="16">
        <v>2</v>
      </c>
      <c r="B4" t="s">
        <v>85</v>
      </c>
      <c r="D4"/>
      <c r="F4"/>
      <c r="G4">
        <v>2</v>
      </c>
      <c r="H4"/>
      <c r="I4"/>
      <c r="J4"/>
    </row>
    <row r="5" spans="1:13" x14ac:dyDescent="0.25">
      <c r="A5" s="16">
        <v>3</v>
      </c>
      <c r="B5" t="s">
        <v>86</v>
      </c>
      <c r="D5"/>
      <c r="F5"/>
      <c r="G5">
        <v>3</v>
      </c>
      <c r="H5"/>
      <c r="I5"/>
      <c r="J5"/>
    </row>
    <row r="6" spans="1:13" x14ac:dyDescent="0.25">
      <c r="A6" s="16">
        <v>4</v>
      </c>
      <c r="B6" t="s">
        <v>87</v>
      </c>
      <c r="D6"/>
      <c r="F6"/>
      <c r="G6">
        <v>4</v>
      </c>
      <c r="H6"/>
      <c r="I6"/>
      <c r="J6"/>
    </row>
    <row r="7" spans="1:13" x14ac:dyDescent="0.25">
      <c r="A7" s="16">
        <v>5</v>
      </c>
      <c r="B7" t="s">
        <v>88</v>
      </c>
      <c r="D7"/>
      <c r="F7"/>
      <c r="G7">
        <v>5</v>
      </c>
      <c r="H7"/>
      <c r="I7"/>
      <c r="J7"/>
    </row>
    <row r="8" spans="1:13" x14ac:dyDescent="0.25">
      <c r="A8" s="16">
        <v>6</v>
      </c>
      <c r="B8" t="s">
        <v>89</v>
      </c>
      <c r="D8"/>
      <c r="F8"/>
      <c r="G8">
        <v>6</v>
      </c>
      <c r="H8"/>
      <c r="I8"/>
      <c r="J8"/>
    </row>
    <row r="9" spans="1:13" x14ac:dyDescent="0.25">
      <c r="A9" s="16">
        <v>7</v>
      </c>
      <c r="B9" t="s">
        <v>90</v>
      </c>
      <c r="D9"/>
      <c r="F9"/>
      <c r="G9">
        <v>7</v>
      </c>
      <c r="H9"/>
      <c r="I9"/>
      <c r="J9"/>
    </row>
    <row r="10" spans="1:13" x14ac:dyDescent="0.25">
      <c r="A10" s="16">
        <v>8</v>
      </c>
      <c r="B10" t="s">
        <v>91</v>
      </c>
      <c r="D10"/>
      <c r="F10"/>
      <c r="G10"/>
      <c r="H10"/>
      <c r="I10"/>
      <c r="J10"/>
    </row>
    <row r="11" spans="1:13" x14ac:dyDescent="0.25">
      <c r="A11" s="16">
        <v>9</v>
      </c>
      <c r="B11" t="s">
        <v>92</v>
      </c>
      <c r="D11"/>
      <c r="F11"/>
      <c r="G11"/>
      <c r="H11"/>
      <c r="I11"/>
      <c r="J11"/>
    </row>
    <row r="12" spans="1:13" x14ac:dyDescent="0.25">
      <c r="A12" s="16">
        <v>10</v>
      </c>
      <c r="B12" t="s">
        <v>93</v>
      </c>
      <c r="D12"/>
      <c r="F12"/>
      <c r="G12"/>
      <c r="H12"/>
      <c r="I12"/>
      <c r="J12"/>
    </row>
    <row r="13" spans="1:13" x14ac:dyDescent="0.25">
      <c r="A13" s="16">
        <v>11</v>
      </c>
      <c r="D13"/>
      <c r="F13"/>
      <c r="G13"/>
      <c r="H13"/>
      <c r="I13"/>
      <c r="J13"/>
    </row>
    <row r="14" spans="1:13" x14ac:dyDescent="0.25">
      <c r="A14" s="16">
        <v>12</v>
      </c>
      <c r="D14"/>
      <c r="F14"/>
      <c r="G14"/>
      <c r="H14"/>
      <c r="I14"/>
      <c r="J14"/>
    </row>
    <row r="15" spans="1:13" x14ac:dyDescent="0.25">
      <c r="A15" s="16">
        <v>13</v>
      </c>
      <c r="D15"/>
      <c r="F15"/>
      <c r="G15"/>
      <c r="H15"/>
      <c r="I15"/>
      <c r="J15"/>
    </row>
    <row r="16" spans="1:13" x14ac:dyDescent="0.25">
      <c r="A16" s="16">
        <v>14</v>
      </c>
      <c r="D16"/>
      <c r="F16"/>
      <c r="G16"/>
      <c r="H16"/>
      <c r="I16"/>
      <c r="J16"/>
    </row>
    <row r="17" spans="1:10" x14ac:dyDescent="0.25">
      <c r="A17" s="16">
        <v>15</v>
      </c>
      <c r="D17"/>
      <c r="F17"/>
      <c r="G17"/>
      <c r="H17"/>
      <c r="I17"/>
      <c r="J17"/>
    </row>
    <row r="18" spans="1:10" x14ac:dyDescent="0.25">
      <c r="A18" s="16">
        <v>16</v>
      </c>
      <c r="D18"/>
      <c r="F18"/>
      <c r="G18"/>
      <c r="H18"/>
      <c r="I18"/>
      <c r="J18"/>
    </row>
    <row r="19" spans="1:10" x14ac:dyDescent="0.25">
      <c r="A19" s="16">
        <v>17</v>
      </c>
      <c r="D19"/>
      <c r="F19"/>
      <c r="G19"/>
      <c r="H19"/>
      <c r="I19"/>
      <c r="J19"/>
    </row>
    <row r="20" spans="1:10" x14ac:dyDescent="0.25">
      <c r="A20" s="16">
        <v>18</v>
      </c>
      <c r="D20"/>
      <c r="F20"/>
      <c r="G20"/>
      <c r="H20"/>
      <c r="I20"/>
      <c r="J20"/>
    </row>
    <row r="21" spans="1:10" x14ac:dyDescent="0.25">
      <c r="A21" s="16">
        <v>19</v>
      </c>
      <c r="D21"/>
      <c r="F21"/>
      <c r="G21"/>
      <c r="H21"/>
      <c r="I21"/>
      <c r="J21"/>
    </row>
    <row r="22" spans="1:10" x14ac:dyDescent="0.25">
      <c r="A22" s="16">
        <v>20</v>
      </c>
      <c r="D22"/>
      <c r="F22"/>
      <c r="G22"/>
      <c r="H22"/>
      <c r="I22"/>
      <c r="J22"/>
    </row>
    <row r="23" spans="1:10" x14ac:dyDescent="0.25">
      <c r="A23" s="16">
        <v>21</v>
      </c>
      <c r="D23"/>
      <c r="F23"/>
      <c r="G23"/>
      <c r="H23"/>
      <c r="I23"/>
      <c r="J23"/>
    </row>
    <row r="24" spans="1:10" x14ac:dyDescent="0.25">
      <c r="A24" s="16">
        <v>22</v>
      </c>
      <c r="D24"/>
      <c r="F24"/>
      <c r="G24"/>
      <c r="H24"/>
      <c r="I24"/>
      <c r="J24"/>
    </row>
    <row r="25" spans="1:10" x14ac:dyDescent="0.25">
      <c r="A25" s="16">
        <v>23</v>
      </c>
      <c r="D25"/>
      <c r="F25"/>
      <c r="G25"/>
      <c r="H25"/>
      <c r="I25"/>
      <c r="J25"/>
    </row>
    <row r="26" spans="1:10" x14ac:dyDescent="0.25">
      <c r="A26" s="16">
        <v>24</v>
      </c>
      <c r="D26"/>
      <c r="F26"/>
      <c r="G26"/>
      <c r="H26"/>
      <c r="I26"/>
      <c r="J26"/>
    </row>
    <row r="27" spans="1:10" x14ac:dyDescent="0.25">
      <c r="A27" s="16">
        <v>25</v>
      </c>
      <c r="D27"/>
      <c r="F27"/>
      <c r="G27"/>
      <c r="H27"/>
      <c r="I27"/>
      <c r="J27"/>
    </row>
    <row r="28" spans="1:10" x14ac:dyDescent="0.25">
      <c r="A28" s="16">
        <v>26</v>
      </c>
      <c r="D28"/>
      <c r="F28"/>
      <c r="G28"/>
      <c r="H28"/>
      <c r="I28"/>
      <c r="J28"/>
    </row>
    <row r="29" spans="1:10" x14ac:dyDescent="0.25">
      <c r="A29" s="16">
        <v>27</v>
      </c>
      <c r="D29"/>
      <c r="F29"/>
      <c r="G29"/>
      <c r="H29"/>
      <c r="I29"/>
      <c r="J29"/>
    </row>
    <row r="30" spans="1:10" x14ac:dyDescent="0.25">
      <c r="A30" s="16">
        <v>28</v>
      </c>
      <c r="D30"/>
      <c r="F30"/>
      <c r="G30"/>
      <c r="H30"/>
      <c r="I30"/>
      <c r="J30"/>
    </row>
    <row r="31" spans="1:10" x14ac:dyDescent="0.25">
      <c r="A31" s="16">
        <v>29</v>
      </c>
      <c r="D31"/>
      <c r="F31"/>
      <c r="G31"/>
      <c r="H31"/>
      <c r="I31"/>
      <c r="J31"/>
    </row>
    <row r="32" spans="1:10" x14ac:dyDescent="0.25">
      <c r="A32" s="16">
        <v>30</v>
      </c>
      <c r="D32"/>
      <c r="F32"/>
      <c r="G32"/>
      <c r="H32"/>
      <c r="I32"/>
      <c r="J32"/>
    </row>
    <row r="33" spans="1:10" x14ac:dyDescent="0.25">
      <c r="A33" s="16">
        <v>31</v>
      </c>
      <c r="D33"/>
      <c r="F33"/>
      <c r="G33"/>
      <c r="H33"/>
      <c r="I33"/>
      <c r="J33"/>
    </row>
    <row r="34" spans="1:10" x14ac:dyDescent="0.25">
      <c r="A34" s="16">
        <v>32</v>
      </c>
      <c r="D34"/>
      <c r="F34"/>
      <c r="G34"/>
      <c r="H34"/>
      <c r="I34"/>
      <c r="J34"/>
    </row>
    <row r="35" spans="1:10" x14ac:dyDescent="0.25">
      <c r="A35" s="16">
        <v>33</v>
      </c>
      <c r="D35"/>
      <c r="F35"/>
      <c r="G35"/>
      <c r="H35"/>
      <c r="I35"/>
      <c r="J35"/>
    </row>
    <row r="36" spans="1:10" x14ac:dyDescent="0.25">
      <c r="A36" s="16">
        <v>34</v>
      </c>
      <c r="D36"/>
      <c r="F36"/>
      <c r="G36"/>
      <c r="H36"/>
      <c r="I36"/>
      <c r="J36"/>
    </row>
    <row r="37" spans="1:10" x14ac:dyDescent="0.25">
      <c r="A37" s="16">
        <v>35</v>
      </c>
      <c r="D37"/>
      <c r="F37"/>
      <c r="G37"/>
      <c r="H37"/>
      <c r="I37"/>
      <c r="J37"/>
    </row>
    <row r="38" spans="1:10" x14ac:dyDescent="0.25">
      <c r="A38" s="16">
        <v>36</v>
      </c>
      <c r="D38"/>
      <c r="F38"/>
      <c r="G38"/>
      <c r="H38"/>
      <c r="I38"/>
      <c r="J38"/>
    </row>
    <row r="39" spans="1:10" x14ac:dyDescent="0.25">
      <c r="A39" s="16">
        <v>37</v>
      </c>
      <c r="D39"/>
      <c r="F39"/>
      <c r="G39"/>
      <c r="H39"/>
      <c r="I39"/>
      <c r="J39"/>
    </row>
    <row r="40" spans="1:10" x14ac:dyDescent="0.25">
      <c r="A40" s="16">
        <v>38</v>
      </c>
      <c r="D40"/>
      <c r="F40"/>
      <c r="G40"/>
      <c r="H40"/>
      <c r="I40"/>
      <c r="J40"/>
    </row>
    <row r="41" spans="1:10" x14ac:dyDescent="0.25">
      <c r="A41" s="16">
        <v>39</v>
      </c>
      <c r="D41"/>
      <c r="F41"/>
      <c r="G41"/>
      <c r="H41"/>
      <c r="I41"/>
      <c r="J41"/>
    </row>
    <row r="42" spans="1:10" x14ac:dyDescent="0.25">
      <c r="A42" s="16">
        <v>40</v>
      </c>
      <c r="D42"/>
      <c r="F42"/>
      <c r="G42"/>
      <c r="H42"/>
      <c r="I42"/>
      <c r="J42"/>
    </row>
    <row r="43" spans="1:10" x14ac:dyDescent="0.25">
      <c r="A43" s="16">
        <v>41</v>
      </c>
      <c r="D43"/>
      <c r="F43"/>
      <c r="G43"/>
      <c r="H43"/>
      <c r="I43"/>
      <c r="J43"/>
    </row>
    <row r="44" spans="1:10" x14ac:dyDescent="0.25">
      <c r="A44" s="16">
        <v>42</v>
      </c>
      <c r="D44"/>
      <c r="F44"/>
      <c r="G44"/>
      <c r="H44"/>
      <c r="I44"/>
      <c r="J44"/>
    </row>
    <row r="45" spans="1:10" x14ac:dyDescent="0.25">
      <c r="A45" s="16">
        <v>43</v>
      </c>
      <c r="D45"/>
      <c r="F45"/>
      <c r="G45"/>
      <c r="H45"/>
      <c r="I45"/>
      <c r="J45"/>
    </row>
    <row r="46" spans="1:10" x14ac:dyDescent="0.25">
      <c r="A46" s="16">
        <v>44</v>
      </c>
      <c r="D46"/>
      <c r="F46"/>
      <c r="G46"/>
      <c r="H46"/>
      <c r="I46"/>
      <c r="J46"/>
    </row>
    <row r="47" spans="1:10" x14ac:dyDescent="0.25">
      <c r="A47" s="16">
        <v>45</v>
      </c>
      <c r="D47"/>
      <c r="F47"/>
      <c r="G47"/>
      <c r="H47"/>
      <c r="I47"/>
      <c r="J47"/>
    </row>
    <row r="48" spans="1:10" x14ac:dyDescent="0.25">
      <c r="A48" s="16">
        <v>46</v>
      </c>
      <c r="D48"/>
      <c r="F48"/>
      <c r="G48"/>
      <c r="H48"/>
      <c r="I48"/>
      <c r="J48"/>
    </row>
    <row r="49" spans="1:10" x14ac:dyDescent="0.25">
      <c r="A49" s="16">
        <v>47</v>
      </c>
      <c r="D49"/>
      <c r="F49"/>
      <c r="G49"/>
      <c r="H49"/>
      <c r="I49"/>
      <c r="J49"/>
    </row>
    <row r="50" spans="1:10" x14ac:dyDescent="0.25">
      <c r="A50" s="16">
        <v>48</v>
      </c>
      <c r="D50"/>
      <c r="F50"/>
      <c r="G50"/>
      <c r="H50"/>
      <c r="I50"/>
      <c r="J50"/>
    </row>
    <row r="51" spans="1:10" x14ac:dyDescent="0.25">
      <c r="A51" s="16">
        <v>49</v>
      </c>
      <c r="D51"/>
      <c r="F51"/>
      <c r="G51"/>
      <c r="H51"/>
      <c r="I51"/>
      <c r="J51"/>
    </row>
    <row r="52" spans="1:10" x14ac:dyDescent="0.25">
      <c r="A52" s="16">
        <v>50</v>
      </c>
      <c r="D52"/>
      <c r="F52"/>
      <c r="G52"/>
      <c r="H52"/>
      <c r="I52"/>
      <c r="J52"/>
    </row>
    <row r="53" spans="1:10" x14ac:dyDescent="0.25">
      <c r="A53" s="16">
        <v>51</v>
      </c>
      <c r="D53"/>
      <c r="F53"/>
      <c r="G53"/>
      <c r="H53"/>
      <c r="I53"/>
      <c r="J53"/>
    </row>
    <row r="54" spans="1:10" x14ac:dyDescent="0.25">
      <c r="A54" s="16">
        <v>52</v>
      </c>
      <c r="D54"/>
      <c r="F54"/>
      <c r="G54"/>
      <c r="H54"/>
      <c r="I54"/>
      <c r="J54"/>
    </row>
    <row r="55" spans="1:10" x14ac:dyDescent="0.25">
      <c r="A55" s="16">
        <v>53</v>
      </c>
      <c r="D55"/>
      <c r="F55"/>
      <c r="G55"/>
      <c r="H55"/>
      <c r="I55"/>
      <c r="J55"/>
    </row>
    <row r="56" spans="1:10" x14ac:dyDescent="0.25">
      <c r="A56" s="16">
        <v>54</v>
      </c>
      <c r="D56"/>
      <c r="F56"/>
      <c r="G56"/>
      <c r="H56"/>
      <c r="I56"/>
      <c r="J56"/>
    </row>
    <row r="57" spans="1:10" x14ac:dyDescent="0.25">
      <c r="A57" s="16">
        <v>55</v>
      </c>
      <c r="D57"/>
      <c r="F57"/>
      <c r="G57"/>
      <c r="H57"/>
      <c r="I57"/>
      <c r="J57"/>
    </row>
    <row r="58" spans="1:10" x14ac:dyDescent="0.25">
      <c r="A58" s="16">
        <v>56</v>
      </c>
      <c r="D58"/>
      <c r="F58"/>
      <c r="G58"/>
      <c r="H58"/>
      <c r="I58"/>
      <c r="J58"/>
    </row>
    <row r="59" spans="1:10" x14ac:dyDescent="0.25">
      <c r="A59" s="16">
        <v>57</v>
      </c>
      <c r="D59"/>
      <c r="F59"/>
      <c r="G59"/>
      <c r="H59"/>
      <c r="I59"/>
      <c r="J59"/>
    </row>
    <row r="60" spans="1:10" x14ac:dyDescent="0.25">
      <c r="A60" s="16">
        <v>58</v>
      </c>
      <c r="D60"/>
      <c r="F60"/>
      <c r="G60"/>
      <c r="H60"/>
      <c r="I60"/>
      <c r="J60"/>
    </row>
    <row r="61" spans="1:10" x14ac:dyDescent="0.25">
      <c r="A61" s="16">
        <v>59</v>
      </c>
      <c r="D61"/>
      <c r="F61"/>
      <c r="G61"/>
      <c r="H61"/>
      <c r="I61"/>
      <c r="J61"/>
    </row>
    <row r="62" spans="1:10" x14ac:dyDescent="0.25">
      <c r="A62" s="16">
        <v>60</v>
      </c>
      <c r="D62"/>
      <c r="F62"/>
      <c r="G62"/>
      <c r="H62"/>
      <c r="I62"/>
      <c r="J62"/>
    </row>
    <row r="63" spans="1:10" x14ac:dyDescent="0.25">
      <c r="A63" s="16">
        <v>61</v>
      </c>
      <c r="D63"/>
      <c r="F63"/>
      <c r="G63"/>
      <c r="H63"/>
      <c r="I63"/>
      <c r="J63"/>
    </row>
    <row r="64" spans="1:10" x14ac:dyDescent="0.25">
      <c r="A64" s="16">
        <v>62</v>
      </c>
      <c r="D64"/>
      <c r="F64"/>
      <c r="G64"/>
      <c r="H64"/>
      <c r="I64"/>
      <c r="J64"/>
    </row>
    <row r="65" spans="1:10" x14ac:dyDescent="0.25">
      <c r="A65" s="16">
        <v>63</v>
      </c>
      <c r="D65"/>
      <c r="F65"/>
      <c r="G65"/>
      <c r="H65"/>
      <c r="I65"/>
      <c r="J65"/>
    </row>
    <row r="66" spans="1:10" x14ac:dyDescent="0.25">
      <c r="A66" s="16">
        <v>64</v>
      </c>
      <c r="D66"/>
      <c r="F66"/>
      <c r="G66"/>
      <c r="H66"/>
      <c r="I66"/>
      <c r="J66"/>
    </row>
    <row r="67" spans="1:10" x14ac:dyDescent="0.25">
      <c r="A67" s="16">
        <v>65</v>
      </c>
      <c r="D67"/>
      <c r="F67"/>
      <c r="G67"/>
      <c r="H67"/>
      <c r="I67"/>
      <c r="J67"/>
    </row>
    <row r="68" spans="1:10" x14ac:dyDescent="0.25">
      <c r="A68" s="16">
        <v>66</v>
      </c>
      <c r="D68"/>
      <c r="F68"/>
      <c r="G68"/>
      <c r="H68"/>
      <c r="I68"/>
      <c r="J68"/>
    </row>
    <row r="69" spans="1:10" x14ac:dyDescent="0.25">
      <c r="A69" s="16">
        <v>67</v>
      </c>
      <c r="D69"/>
      <c r="F69"/>
      <c r="G69"/>
      <c r="H69"/>
      <c r="I69"/>
      <c r="J69"/>
    </row>
    <row r="70" spans="1:10" x14ac:dyDescent="0.25">
      <c r="A70" s="16">
        <v>68</v>
      </c>
      <c r="D70"/>
      <c r="F70"/>
      <c r="G70"/>
      <c r="H70"/>
      <c r="I70"/>
      <c r="J70"/>
    </row>
    <row r="71" spans="1:10" x14ac:dyDescent="0.25">
      <c r="A71" s="16">
        <v>69</v>
      </c>
      <c r="D71"/>
      <c r="F71"/>
      <c r="G71"/>
      <c r="H71"/>
      <c r="I71"/>
      <c r="J71"/>
    </row>
    <row r="72" spans="1:10" x14ac:dyDescent="0.25">
      <c r="A72" s="16">
        <v>70</v>
      </c>
      <c r="D72"/>
      <c r="F72"/>
      <c r="G72"/>
      <c r="H72"/>
      <c r="I72"/>
      <c r="J72"/>
    </row>
    <row r="73" spans="1:10" x14ac:dyDescent="0.25">
      <c r="A73" s="16">
        <v>71</v>
      </c>
      <c r="D73"/>
      <c r="F73"/>
      <c r="G73"/>
      <c r="H73"/>
      <c r="I73"/>
      <c r="J73"/>
    </row>
    <row r="74" spans="1:10" x14ac:dyDescent="0.25">
      <c r="A74" s="16">
        <v>72</v>
      </c>
      <c r="D74"/>
      <c r="F74"/>
      <c r="G74"/>
      <c r="H74"/>
      <c r="I74"/>
      <c r="J74"/>
    </row>
    <row r="75" spans="1:10" x14ac:dyDescent="0.25">
      <c r="A75" s="16">
        <v>73</v>
      </c>
      <c r="D75"/>
      <c r="F75"/>
      <c r="G75"/>
      <c r="H75"/>
      <c r="I75"/>
      <c r="J75"/>
    </row>
    <row r="76" spans="1:10" x14ac:dyDescent="0.25">
      <c r="A76" s="16">
        <v>74</v>
      </c>
      <c r="D76"/>
      <c r="F76"/>
      <c r="G76"/>
      <c r="H76"/>
      <c r="I76"/>
      <c r="J76"/>
    </row>
    <row r="77" spans="1:10" x14ac:dyDescent="0.25">
      <c r="A77" s="16">
        <v>75</v>
      </c>
      <c r="D77"/>
      <c r="F77"/>
      <c r="G77"/>
      <c r="H77"/>
      <c r="I77"/>
      <c r="J77"/>
    </row>
    <row r="78" spans="1:10" x14ac:dyDescent="0.25">
      <c r="A78" s="16">
        <v>76</v>
      </c>
      <c r="D78"/>
      <c r="F78"/>
      <c r="G78"/>
      <c r="H78"/>
      <c r="I78"/>
      <c r="J78"/>
    </row>
    <row r="79" spans="1:10" x14ac:dyDescent="0.25">
      <c r="A79" s="16">
        <v>77</v>
      </c>
      <c r="D79"/>
      <c r="F79"/>
      <c r="G79"/>
      <c r="H79"/>
      <c r="I79"/>
      <c r="J79"/>
    </row>
    <row r="80" spans="1:10" x14ac:dyDescent="0.25">
      <c r="A80" s="16">
        <v>78</v>
      </c>
      <c r="D80"/>
      <c r="F80"/>
      <c r="G80"/>
      <c r="H80"/>
      <c r="I80"/>
      <c r="J80"/>
    </row>
    <row r="81" spans="1:10" x14ac:dyDescent="0.25">
      <c r="A81" s="16">
        <v>79</v>
      </c>
      <c r="D81"/>
      <c r="F81"/>
      <c r="G81"/>
      <c r="H81"/>
      <c r="I81"/>
      <c r="J81"/>
    </row>
    <row r="82" spans="1:10" x14ac:dyDescent="0.25">
      <c r="A82" s="16">
        <v>80</v>
      </c>
      <c r="D82"/>
      <c r="F82"/>
      <c r="G82"/>
      <c r="H82"/>
      <c r="I82"/>
      <c r="J82"/>
    </row>
    <row r="83" spans="1:10" x14ac:dyDescent="0.25">
      <c r="A83" s="16">
        <v>81</v>
      </c>
      <c r="D83"/>
      <c r="F83"/>
      <c r="G83"/>
      <c r="H83"/>
      <c r="I83"/>
      <c r="J83"/>
    </row>
    <row r="84" spans="1:10" x14ac:dyDescent="0.25">
      <c r="A84" s="16">
        <v>82</v>
      </c>
      <c r="D84"/>
      <c r="F84"/>
      <c r="G84"/>
      <c r="H84"/>
      <c r="I84"/>
      <c r="J84"/>
    </row>
    <row r="85" spans="1:10" x14ac:dyDescent="0.25">
      <c r="A85" s="16">
        <v>83</v>
      </c>
      <c r="D85"/>
      <c r="F85"/>
      <c r="G85"/>
      <c r="H85"/>
      <c r="I85"/>
      <c r="J85"/>
    </row>
    <row r="86" spans="1:10" x14ac:dyDescent="0.25">
      <c r="A86" s="16">
        <v>84</v>
      </c>
      <c r="D86"/>
      <c r="F86"/>
      <c r="G86"/>
      <c r="H86"/>
      <c r="I86"/>
      <c r="J86"/>
    </row>
    <row r="87" spans="1:10" x14ac:dyDescent="0.25">
      <c r="A87" s="16">
        <v>85</v>
      </c>
      <c r="D87"/>
      <c r="F87"/>
      <c r="G87"/>
      <c r="H87"/>
      <c r="I87"/>
      <c r="J87"/>
    </row>
    <row r="88" spans="1:10" x14ac:dyDescent="0.25">
      <c r="A88" s="16">
        <v>86</v>
      </c>
      <c r="D88"/>
      <c r="F88"/>
      <c r="G88"/>
      <c r="H88"/>
      <c r="I88"/>
      <c r="J88"/>
    </row>
    <row r="89" spans="1:10" x14ac:dyDescent="0.25">
      <c r="A89" s="16">
        <v>87</v>
      </c>
      <c r="D89"/>
      <c r="F89"/>
      <c r="G89"/>
      <c r="H89"/>
      <c r="I89"/>
      <c r="J89"/>
    </row>
    <row r="90" spans="1:10" x14ac:dyDescent="0.25">
      <c r="A90" s="16">
        <v>88</v>
      </c>
      <c r="D90"/>
      <c r="F90"/>
      <c r="G90"/>
      <c r="H90"/>
      <c r="I90"/>
      <c r="J90"/>
    </row>
    <row r="91" spans="1:10" x14ac:dyDescent="0.25">
      <c r="A91" s="16">
        <v>89</v>
      </c>
      <c r="D91"/>
      <c r="F91"/>
      <c r="G91"/>
      <c r="H91"/>
      <c r="I91"/>
      <c r="J91"/>
    </row>
    <row r="92" spans="1:10" x14ac:dyDescent="0.25">
      <c r="A92" s="16">
        <v>90</v>
      </c>
      <c r="D92"/>
      <c r="F92"/>
      <c r="G92"/>
      <c r="H92"/>
      <c r="I92"/>
      <c r="J92"/>
    </row>
    <row r="93" spans="1:10" x14ac:dyDescent="0.25">
      <c r="A93" s="16">
        <v>91</v>
      </c>
      <c r="D93"/>
      <c r="F93"/>
      <c r="G93"/>
      <c r="H93"/>
      <c r="I93"/>
      <c r="J93"/>
    </row>
    <row r="94" spans="1:10" x14ac:dyDescent="0.25">
      <c r="A94" s="16">
        <v>92</v>
      </c>
      <c r="D94"/>
      <c r="F94"/>
      <c r="G94"/>
      <c r="H94"/>
      <c r="I94"/>
      <c r="J94"/>
    </row>
    <row r="95" spans="1:10" x14ac:dyDescent="0.25">
      <c r="A95" s="16">
        <v>93</v>
      </c>
      <c r="D95"/>
      <c r="F95"/>
      <c r="G95"/>
      <c r="H95"/>
      <c r="I95"/>
      <c r="J95"/>
    </row>
    <row r="96" spans="1:10" x14ac:dyDescent="0.25">
      <c r="A96" s="16">
        <v>94</v>
      </c>
      <c r="D96"/>
      <c r="F96"/>
      <c r="G96"/>
      <c r="H96"/>
      <c r="I96"/>
      <c r="J96"/>
    </row>
    <row r="97" spans="1:10" x14ac:dyDescent="0.25">
      <c r="A97" s="16">
        <v>95</v>
      </c>
      <c r="D97"/>
      <c r="F97"/>
      <c r="G97"/>
      <c r="H97"/>
      <c r="I97"/>
      <c r="J97"/>
    </row>
    <row r="98" spans="1:10" x14ac:dyDescent="0.25">
      <c r="A98" s="16">
        <v>96</v>
      </c>
      <c r="D98"/>
      <c r="F98"/>
      <c r="G98"/>
      <c r="H98"/>
      <c r="I98"/>
      <c r="J98"/>
    </row>
    <row r="99" spans="1:10" x14ac:dyDescent="0.25">
      <c r="A99" s="16">
        <v>97</v>
      </c>
      <c r="D99"/>
      <c r="F99"/>
      <c r="G99"/>
      <c r="H99"/>
      <c r="I99"/>
      <c r="J99"/>
    </row>
    <row r="100" spans="1:10" x14ac:dyDescent="0.25">
      <c r="A100" s="16">
        <v>98</v>
      </c>
      <c r="D100"/>
      <c r="F100"/>
      <c r="G100"/>
      <c r="H100"/>
      <c r="I100"/>
      <c r="J100"/>
    </row>
    <row r="101" spans="1:10" x14ac:dyDescent="0.25">
      <c r="A101" s="16">
        <v>99</v>
      </c>
      <c r="D101"/>
      <c r="F101"/>
      <c r="G101"/>
      <c r="H101"/>
      <c r="I101"/>
      <c r="J101"/>
    </row>
    <row r="102" spans="1:10" x14ac:dyDescent="0.25">
      <c r="A102" s="16">
        <v>100</v>
      </c>
      <c r="D102"/>
      <c r="F102"/>
      <c r="G102"/>
      <c r="H102"/>
      <c r="I102"/>
      <c r="J102"/>
    </row>
    <row r="103" spans="1:10" x14ac:dyDescent="0.25">
      <c r="A103" s="16">
        <v>101</v>
      </c>
      <c r="D103"/>
      <c r="F103"/>
      <c r="G103"/>
      <c r="H103"/>
      <c r="I103"/>
      <c r="J103"/>
    </row>
    <row r="104" spans="1:10" x14ac:dyDescent="0.25">
      <c r="A104" s="16">
        <v>102</v>
      </c>
      <c r="D104"/>
      <c r="F104"/>
      <c r="G104"/>
      <c r="H104"/>
      <c r="I104"/>
      <c r="J104"/>
    </row>
    <row r="105" spans="1:10" x14ac:dyDescent="0.25">
      <c r="A105" s="16">
        <v>103</v>
      </c>
      <c r="D105"/>
      <c r="F105"/>
      <c r="G105"/>
      <c r="H105"/>
      <c r="I105"/>
      <c r="J105"/>
    </row>
    <row r="106" spans="1:10" x14ac:dyDescent="0.25">
      <c r="A106" s="16">
        <v>104</v>
      </c>
      <c r="D106"/>
      <c r="F106"/>
      <c r="G106"/>
      <c r="H106"/>
      <c r="I106"/>
      <c r="J106"/>
    </row>
    <row r="107" spans="1:10" x14ac:dyDescent="0.25">
      <c r="A107" s="16">
        <v>105</v>
      </c>
      <c r="D107"/>
      <c r="F107"/>
      <c r="G107"/>
      <c r="H107"/>
      <c r="I107"/>
      <c r="J107"/>
    </row>
    <row r="108" spans="1:10" x14ac:dyDescent="0.25">
      <c r="A108" s="16">
        <v>106</v>
      </c>
      <c r="D108"/>
      <c r="F108"/>
      <c r="G108"/>
      <c r="H108"/>
      <c r="I108"/>
      <c r="J108"/>
    </row>
    <row r="109" spans="1:10" x14ac:dyDescent="0.25">
      <c r="A109" s="16">
        <v>107</v>
      </c>
      <c r="D109"/>
      <c r="F109"/>
      <c r="G109"/>
      <c r="H109"/>
      <c r="I109"/>
      <c r="J109"/>
    </row>
    <row r="110" spans="1:10" x14ac:dyDescent="0.25">
      <c r="A110" s="16">
        <v>108</v>
      </c>
      <c r="D110"/>
      <c r="F110"/>
      <c r="G110"/>
      <c r="H110"/>
      <c r="I110"/>
      <c r="J110"/>
    </row>
    <row r="111" spans="1:10" x14ac:dyDescent="0.25">
      <c r="A111" s="16">
        <v>109</v>
      </c>
      <c r="D111"/>
      <c r="F111"/>
      <c r="G111"/>
      <c r="H111"/>
      <c r="I111"/>
      <c r="J111"/>
    </row>
    <row r="112" spans="1:10" x14ac:dyDescent="0.25">
      <c r="A112" s="16">
        <v>110</v>
      </c>
      <c r="D112"/>
      <c r="F112"/>
      <c r="G112"/>
      <c r="H112"/>
      <c r="I112"/>
      <c r="J112"/>
    </row>
    <row r="113" spans="1:10" x14ac:dyDescent="0.25">
      <c r="A113" s="16">
        <v>111</v>
      </c>
      <c r="D113"/>
      <c r="F113"/>
      <c r="G113"/>
      <c r="H113"/>
      <c r="I113"/>
      <c r="J113"/>
    </row>
    <row r="114" spans="1:10" x14ac:dyDescent="0.25">
      <c r="A114" s="16">
        <v>112</v>
      </c>
      <c r="D114"/>
      <c r="F114"/>
      <c r="G114"/>
      <c r="H114"/>
      <c r="I114"/>
      <c r="J114"/>
    </row>
    <row r="115" spans="1:10" x14ac:dyDescent="0.25">
      <c r="A115" s="16">
        <v>113</v>
      </c>
      <c r="D115"/>
      <c r="F115"/>
      <c r="G115"/>
      <c r="H115"/>
      <c r="I115"/>
      <c r="J115"/>
    </row>
    <row r="116" spans="1:10" x14ac:dyDescent="0.25">
      <c r="A116" s="16">
        <v>114</v>
      </c>
      <c r="D116"/>
      <c r="F116"/>
      <c r="G116"/>
      <c r="H116"/>
      <c r="I116"/>
      <c r="J116"/>
    </row>
    <row r="117" spans="1:10" x14ac:dyDescent="0.25">
      <c r="A117" s="16">
        <v>115</v>
      </c>
      <c r="D117"/>
      <c r="F117"/>
      <c r="G117"/>
      <c r="H117"/>
      <c r="I117"/>
      <c r="J117"/>
    </row>
    <row r="118" spans="1:10" x14ac:dyDescent="0.25">
      <c r="A118" s="16">
        <v>116</v>
      </c>
      <c r="D118"/>
      <c r="F118"/>
      <c r="G118"/>
      <c r="H118"/>
      <c r="I118"/>
      <c r="J118"/>
    </row>
    <row r="119" spans="1:10" x14ac:dyDescent="0.25">
      <c r="A119" s="16">
        <v>117</v>
      </c>
      <c r="D119"/>
      <c r="F119"/>
      <c r="G119"/>
      <c r="H119"/>
      <c r="I119"/>
      <c r="J119"/>
    </row>
    <row r="120" spans="1:10" x14ac:dyDescent="0.25">
      <c r="A120" s="16">
        <v>118</v>
      </c>
      <c r="D120"/>
      <c r="F120"/>
      <c r="G120"/>
      <c r="H120"/>
      <c r="I120"/>
      <c r="J120"/>
    </row>
    <row r="121" spans="1:10" x14ac:dyDescent="0.25">
      <c r="A121" s="16">
        <v>119</v>
      </c>
      <c r="D121"/>
      <c r="F121"/>
      <c r="G121"/>
      <c r="H121"/>
      <c r="I121"/>
      <c r="J121"/>
    </row>
    <row r="122" spans="1:10" x14ac:dyDescent="0.25">
      <c r="A122" s="16">
        <v>120</v>
      </c>
      <c r="D122"/>
      <c r="F122"/>
      <c r="G122"/>
      <c r="H122"/>
      <c r="I122"/>
      <c r="J122"/>
    </row>
    <row r="123" spans="1:10" x14ac:dyDescent="0.25">
      <c r="A123" s="16">
        <v>121</v>
      </c>
      <c r="D123"/>
      <c r="F123"/>
      <c r="G123"/>
      <c r="H123"/>
      <c r="I123"/>
      <c r="J123"/>
    </row>
    <row r="124" spans="1:10" x14ac:dyDescent="0.25">
      <c r="A124" s="16">
        <v>122</v>
      </c>
      <c r="D124"/>
      <c r="F124"/>
      <c r="G124"/>
      <c r="H124"/>
      <c r="I124"/>
      <c r="J124"/>
    </row>
    <row r="125" spans="1:10" x14ac:dyDescent="0.25">
      <c r="A125" s="16">
        <v>123</v>
      </c>
      <c r="D125"/>
      <c r="F125"/>
      <c r="G125"/>
      <c r="H125"/>
      <c r="I125"/>
      <c r="J125"/>
    </row>
    <row r="126" spans="1:10" x14ac:dyDescent="0.25">
      <c r="A126" s="16">
        <v>124</v>
      </c>
      <c r="D126"/>
      <c r="F126"/>
      <c r="G126"/>
      <c r="H126"/>
      <c r="I126"/>
      <c r="J126"/>
    </row>
    <row r="127" spans="1:10" x14ac:dyDescent="0.25">
      <c r="A127" s="16">
        <v>125</v>
      </c>
      <c r="D127"/>
      <c r="F127"/>
      <c r="G127"/>
      <c r="H127"/>
      <c r="I127"/>
      <c r="J127"/>
    </row>
    <row r="128" spans="1:10" x14ac:dyDescent="0.25">
      <c r="A128" s="16">
        <v>126</v>
      </c>
      <c r="D128"/>
      <c r="F128"/>
      <c r="G128"/>
      <c r="H128"/>
      <c r="I128"/>
      <c r="J128"/>
    </row>
    <row r="129" spans="1:10" x14ac:dyDescent="0.25">
      <c r="A129" s="16">
        <v>127</v>
      </c>
      <c r="D129"/>
      <c r="F129"/>
      <c r="G129"/>
      <c r="H129"/>
      <c r="I129"/>
      <c r="J129"/>
    </row>
    <row r="130" spans="1:10" x14ac:dyDescent="0.25">
      <c r="A130" s="16">
        <v>128</v>
      </c>
      <c r="D130"/>
      <c r="F130"/>
      <c r="G130"/>
      <c r="H130"/>
      <c r="I130"/>
      <c r="J130"/>
    </row>
    <row r="131" spans="1:10" x14ac:dyDescent="0.25">
      <c r="A131" s="16">
        <v>129</v>
      </c>
      <c r="D131"/>
      <c r="F131"/>
      <c r="G131"/>
      <c r="H131"/>
      <c r="I131"/>
      <c r="J131"/>
    </row>
    <row r="132" spans="1:10" x14ac:dyDescent="0.25">
      <c r="A132" s="16">
        <v>130</v>
      </c>
      <c r="D132"/>
      <c r="F132"/>
      <c r="G132"/>
      <c r="H132"/>
      <c r="I132"/>
      <c r="J132"/>
    </row>
    <row r="133" spans="1:10" x14ac:dyDescent="0.25">
      <c r="A133" s="16">
        <v>131</v>
      </c>
      <c r="D133"/>
      <c r="F133"/>
      <c r="G133"/>
      <c r="H133"/>
      <c r="I133"/>
      <c r="J133"/>
    </row>
    <row r="134" spans="1:10" x14ac:dyDescent="0.25">
      <c r="A134" s="16">
        <v>132</v>
      </c>
      <c r="D134"/>
      <c r="F134"/>
      <c r="G134"/>
      <c r="H134"/>
      <c r="I134"/>
      <c r="J134"/>
    </row>
    <row r="135" spans="1:10" x14ac:dyDescent="0.25">
      <c r="A135" s="16">
        <v>133</v>
      </c>
      <c r="D135"/>
      <c r="F135"/>
      <c r="G135"/>
      <c r="H135"/>
      <c r="I135"/>
      <c r="J135"/>
    </row>
    <row r="136" spans="1:10" x14ac:dyDescent="0.25">
      <c r="A136" s="16">
        <v>134</v>
      </c>
      <c r="D136"/>
      <c r="F136"/>
      <c r="G136"/>
      <c r="H136"/>
      <c r="I136"/>
      <c r="J136"/>
    </row>
    <row r="137" spans="1:10" x14ac:dyDescent="0.25">
      <c r="A137" s="16">
        <v>135</v>
      </c>
      <c r="D137"/>
      <c r="F137"/>
      <c r="G137"/>
      <c r="H137"/>
      <c r="I137"/>
      <c r="J137"/>
    </row>
    <row r="138" spans="1:10" x14ac:dyDescent="0.25">
      <c r="A138" s="16">
        <v>136</v>
      </c>
      <c r="D138"/>
      <c r="F138"/>
      <c r="G138"/>
      <c r="H138"/>
      <c r="I138"/>
      <c r="J138"/>
    </row>
    <row r="139" spans="1:10" x14ac:dyDescent="0.25">
      <c r="A139" s="16">
        <v>137</v>
      </c>
      <c r="D139"/>
      <c r="F139"/>
      <c r="G139"/>
      <c r="H139"/>
      <c r="I139"/>
      <c r="J139"/>
    </row>
    <row r="140" spans="1:10" x14ac:dyDescent="0.25">
      <c r="A140" s="16">
        <v>138</v>
      </c>
      <c r="D140"/>
      <c r="F140"/>
      <c r="G140"/>
      <c r="H140"/>
      <c r="I140"/>
      <c r="J140"/>
    </row>
    <row r="141" spans="1:10" x14ac:dyDescent="0.25">
      <c r="A141" s="16">
        <v>139</v>
      </c>
      <c r="D141"/>
      <c r="F141"/>
      <c r="G141"/>
      <c r="H141"/>
      <c r="I141"/>
      <c r="J141"/>
    </row>
    <row r="142" spans="1:10" x14ac:dyDescent="0.25">
      <c r="A142" s="16">
        <v>140</v>
      </c>
      <c r="D142"/>
      <c r="F142"/>
      <c r="G142"/>
      <c r="H142"/>
      <c r="I142"/>
      <c r="J142"/>
    </row>
    <row r="143" spans="1:10" x14ac:dyDescent="0.25">
      <c r="A143" s="16">
        <v>141</v>
      </c>
      <c r="D143"/>
      <c r="F143"/>
      <c r="G143"/>
      <c r="H143"/>
      <c r="I143"/>
      <c r="J143"/>
    </row>
    <row r="144" spans="1:10" x14ac:dyDescent="0.25">
      <c r="A144" s="16">
        <v>142</v>
      </c>
      <c r="D144"/>
      <c r="F144"/>
      <c r="G144"/>
      <c r="H144"/>
      <c r="I144"/>
      <c r="J144"/>
    </row>
    <row r="145" spans="1:10" x14ac:dyDescent="0.25">
      <c r="A145" s="16">
        <v>143</v>
      </c>
      <c r="D145"/>
      <c r="F145"/>
      <c r="G145"/>
      <c r="H145"/>
      <c r="I145"/>
      <c r="J145"/>
    </row>
    <row r="146" spans="1:10" x14ac:dyDescent="0.25">
      <c r="A146" s="16">
        <v>144</v>
      </c>
      <c r="D146"/>
      <c r="F146"/>
      <c r="G146"/>
      <c r="H146"/>
      <c r="I146"/>
      <c r="J146"/>
    </row>
    <row r="147" spans="1:10" x14ac:dyDescent="0.25">
      <c r="A147" s="16">
        <v>145</v>
      </c>
      <c r="D147"/>
      <c r="F147"/>
      <c r="G147"/>
      <c r="H147"/>
      <c r="I147"/>
      <c r="J147"/>
    </row>
    <row r="148" spans="1:10" x14ac:dyDescent="0.25">
      <c r="A148" s="16">
        <v>146</v>
      </c>
      <c r="D148"/>
      <c r="F148"/>
      <c r="G148"/>
      <c r="H148"/>
      <c r="I148"/>
      <c r="J148"/>
    </row>
    <row r="149" spans="1:10" x14ac:dyDescent="0.25">
      <c r="A149" s="16">
        <v>147</v>
      </c>
      <c r="D149"/>
      <c r="F149"/>
      <c r="G149"/>
      <c r="H149"/>
      <c r="I149"/>
      <c r="J149"/>
    </row>
    <row r="150" spans="1:10" x14ac:dyDescent="0.25">
      <c r="A150" s="16">
        <v>148</v>
      </c>
      <c r="D150"/>
      <c r="F150"/>
      <c r="G150"/>
      <c r="H150"/>
      <c r="I150"/>
      <c r="J150"/>
    </row>
    <row r="151" spans="1:10" x14ac:dyDescent="0.25">
      <c r="A151" s="16">
        <v>149</v>
      </c>
      <c r="D151"/>
      <c r="F151"/>
      <c r="G151"/>
      <c r="H151"/>
      <c r="I151"/>
      <c r="J151"/>
    </row>
    <row r="152" spans="1:10" x14ac:dyDescent="0.25">
      <c r="A152" s="16">
        <v>150</v>
      </c>
      <c r="D152"/>
      <c r="F152"/>
      <c r="G152"/>
      <c r="H152"/>
      <c r="I152"/>
      <c r="J152"/>
    </row>
    <row r="153" spans="1:10" x14ac:dyDescent="0.25">
      <c r="A153" s="16">
        <v>151</v>
      </c>
      <c r="D153"/>
      <c r="F153"/>
      <c r="G153"/>
      <c r="H153"/>
      <c r="I153"/>
      <c r="J153"/>
    </row>
    <row r="154" spans="1:10" x14ac:dyDescent="0.25">
      <c r="A154" s="16">
        <v>152</v>
      </c>
      <c r="D154"/>
      <c r="F154"/>
      <c r="G154"/>
      <c r="H154"/>
      <c r="I154"/>
      <c r="J154"/>
    </row>
    <row r="155" spans="1:10" x14ac:dyDescent="0.25">
      <c r="A155" s="16">
        <v>153</v>
      </c>
      <c r="D155"/>
      <c r="F155"/>
      <c r="G155"/>
      <c r="H155"/>
      <c r="I155"/>
      <c r="J155"/>
    </row>
    <row r="156" spans="1:10" x14ac:dyDescent="0.25">
      <c r="A156" s="16">
        <v>154</v>
      </c>
      <c r="D156"/>
      <c r="F156"/>
      <c r="G156"/>
      <c r="H156"/>
      <c r="I156"/>
      <c r="J156"/>
    </row>
    <row r="157" spans="1:10" x14ac:dyDescent="0.25">
      <c r="A157" s="16">
        <v>155</v>
      </c>
      <c r="D157"/>
      <c r="F157"/>
      <c r="G157"/>
      <c r="H157"/>
      <c r="I157"/>
      <c r="J157"/>
    </row>
    <row r="158" spans="1:10" x14ac:dyDescent="0.25">
      <c r="A158" s="16">
        <v>156</v>
      </c>
      <c r="D158"/>
      <c r="F158"/>
      <c r="G158"/>
      <c r="H158"/>
      <c r="I158"/>
      <c r="J158"/>
    </row>
    <row r="159" spans="1:10" x14ac:dyDescent="0.25">
      <c r="A159" s="16">
        <v>157</v>
      </c>
      <c r="D159"/>
      <c r="F159"/>
      <c r="G159"/>
      <c r="H159"/>
      <c r="I159"/>
      <c r="J159"/>
    </row>
    <row r="160" spans="1:10" x14ac:dyDescent="0.25">
      <c r="A160" s="16">
        <v>158</v>
      </c>
      <c r="D160"/>
      <c r="F160"/>
      <c r="G160"/>
      <c r="H160"/>
      <c r="I160"/>
      <c r="J160"/>
    </row>
    <row r="161" spans="1:10" x14ac:dyDescent="0.25">
      <c r="A161" s="16">
        <v>159</v>
      </c>
      <c r="D161"/>
      <c r="F161"/>
      <c r="G161"/>
      <c r="H161"/>
      <c r="I161"/>
      <c r="J161"/>
    </row>
    <row r="162" spans="1:10" x14ac:dyDescent="0.25">
      <c r="A162" s="16">
        <v>160</v>
      </c>
      <c r="D162"/>
      <c r="F162"/>
      <c r="G162"/>
      <c r="H162"/>
      <c r="I162"/>
      <c r="J162"/>
    </row>
    <row r="163" spans="1:10" x14ac:dyDescent="0.25">
      <c r="A163" s="16">
        <v>161</v>
      </c>
      <c r="D163"/>
      <c r="F163"/>
      <c r="G163"/>
      <c r="H163"/>
      <c r="I163"/>
      <c r="J163"/>
    </row>
    <row r="164" spans="1:10" x14ac:dyDescent="0.25">
      <c r="A164" s="16">
        <v>162</v>
      </c>
      <c r="D164"/>
      <c r="F164"/>
      <c r="G164"/>
      <c r="H164"/>
      <c r="I164"/>
      <c r="J164"/>
    </row>
    <row r="165" spans="1:10" x14ac:dyDescent="0.25">
      <c r="A165" s="16">
        <v>163</v>
      </c>
      <c r="D165"/>
      <c r="F165"/>
      <c r="G165"/>
      <c r="H165"/>
      <c r="I165"/>
      <c r="J165"/>
    </row>
    <row r="166" spans="1:10" x14ac:dyDescent="0.25">
      <c r="A166" s="16">
        <v>164</v>
      </c>
      <c r="D166"/>
      <c r="F166"/>
      <c r="G166"/>
      <c r="H166"/>
      <c r="I166"/>
      <c r="J166"/>
    </row>
    <row r="167" spans="1:10" x14ac:dyDescent="0.25">
      <c r="A167" s="16">
        <v>165</v>
      </c>
      <c r="D167"/>
      <c r="F167"/>
      <c r="G167"/>
      <c r="H167"/>
      <c r="I167"/>
      <c r="J167"/>
    </row>
    <row r="168" spans="1:10" x14ac:dyDescent="0.25">
      <c r="A168" s="16">
        <v>166</v>
      </c>
      <c r="D168"/>
      <c r="F168"/>
      <c r="G168"/>
      <c r="H168"/>
      <c r="I168"/>
      <c r="J168"/>
    </row>
    <row r="169" spans="1:10" x14ac:dyDescent="0.25">
      <c r="A169" s="16">
        <v>167</v>
      </c>
      <c r="D169"/>
      <c r="F169"/>
      <c r="G169"/>
      <c r="H169"/>
      <c r="I169"/>
      <c r="J169"/>
    </row>
    <row r="170" spans="1:10" x14ac:dyDescent="0.25">
      <c r="A170" s="16">
        <v>168</v>
      </c>
      <c r="D170"/>
      <c r="F170"/>
      <c r="G170"/>
      <c r="H170"/>
      <c r="I170"/>
      <c r="J170"/>
    </row>
    <row r="171" spans="1:10" x14ac:dyDescent="0.25">
      <c r="A171" s="16">
        <v>169</v>
      </c>
      <c r="D171"/>
      <c r="F171"/>
      <c r="G171"/>
      <c r="H171"/>
      <c r="I171"/>
      <c r="J171"/>
    </row>
    <row r="172" spans="1:10" x14ac:dyDescent="0.25">
      <c r="A172" s="16">
        <v>170</v>
      </c>
      <c r="D172"/>
      <c r="F172"/>
      <c r="G172"/>
      <c r="H172"/>
      <c r="I172"/>
      <c r="J172"/>
    </row>
    <row r="173" spans="1:10" x14ac:dyDescent="0.25">
      <c r="A173" s="16">
        <v>171</v>
      </c>
      <c r="D173"/>
      <c r="F173"/>
      <c r="G173"/>
      <c r="H173"/>
      <c r="I173"/>
      <c r="J173"/>
    </row>
    <row r="174" spans="1:10" x14ac:dyDescent="0.25">
      <c r="A174" s="16">
        <v>172</v>
      </c>
      <c r="D174"/>
      <c r="F174"/>
      <c r="G174"/>
      <c r="H174"/>
      <c r="I174"/>
      <c r="J174"/>
    </row>
    <row r="175" spans="1:10" x14ac:dyDescent="0.25">
      <c r="A175" s="16">
        <v>173</v>
      </c>
      <c r="D175"/>
      <c r="F175"/>
      <c r="G175"/>
      <c r="H175"/>
      <c r="I175"/>
      <c r="J175"/>
    </row>
    <row r="176" spans="1:10" x14ac:dyDescent="0.25">
      <c r="A176" s="16">
        <v>174</v>
      </c>
      <c r="D176"/>
      <c r="F176"/>
      <c r="G176"/>
      <c r="H176"/>
      <c r="I176"/>
      <c r="J176"/>
    </row>
    <row r="177" spans="1:10" x14ac:dyDescent="0.25">
      <c r="A177" s="16">
        <v>175</v>
      </c>
      <c r="D177"/>
      <c r="F177"/>
      <c r="G177"/>
      <c r="H177"/>
      <c r="I177"/>
      <c r="J177"/>
    </row>
    <row r="178" spans="1:10" x14ac:dyDescent="0.25">
      <c r="A178" s="16">
        <v>176</v>
      </c>
      <c r="D178"/>
      <c r="F178"/>
      <c r="G178"/>
      <c r="H178"/>
      <c r="I178"/>
      <c r="J178"/>
    </row>
    <row r="179" spans="1:10" x14ac:dyDescent="0.25">
      <c r="A179" s="16">
        <v>177</v>
      </c>
      <c r="D179"/>
      <c r="F179"/>
      <c r="G179"/>
      <c r="H179"/>
      <c r="I179"/>
      <c r="J179"/>
    </row>
    <row r="180" spans="1:10" x14ac:dyDescent="0.25">
      <c r="A180" s="16">
        <v>178</v>
      </c>
      <c r="D180"/>
      <c r="F180"/>
      <c r="G180"/>
      <c r="H180"/>
      <c r="I180"/>
      <c r="J180"/>
    </row>
    <row r="181" spans="1:10" x14ac:dyDescent="0.25">
      <c r="A181" s="16">
        <v>179</v>
      </c>
      <c r="D181"/>
      <c r="F181"/>
      <c r="G181"/>
      <c r="H181"/>
      <c r="I181"/>
      <c r="J181"/>
    </row>
    <row r="182" spans="1:10" x14ac:dyDescent="0.25">
      <c r="A182" s="16">
        <v>180</v>
      </c>
      <c r="D182"/>
      <c r="F182"/>
      <c r="G182"/>
      <c r="H182"/>
      <c r="I182"/>
      <c r="J182"/>
    </row>
    <row r="183" spans="1:10" x14ac:dyDescent="0.25">
      <c r="A183" s="16">
        <v>181</v>
      </c>
      <c r="D183"/>
      <c r="F183"/>
      <c r="G183"/>
      <c r="H183"/>
      <c r="I183"/>
      <c r="J183"/>
    </row>
    <row r="184" spans="1:10" x14ac:dyDescent="0.25">
      <c r="A184" s="16">
        <v>182</v>
      </c>
      <c r="D184"/>
      <c r="F184"/>
      <c r="G184"/>
      <c r="H184"/>
      <c r="I184"/>
      <c r="J184"/>
    </row>
    <row r="185" spans="1:10" x14ac:dyDescent="0.25">
      <c r="A185" s="16">
        <v>183</v>
      </c>
      <c r="D185"/>
      <c r="F185"/>
      <c r="G185"/>
      <c r="H185"/>
      <c r="I185"/>
      <c r="J185"/>
    </row>
    <row r="186" spans="1:10" x14ac:dyDescent="0.25">
      <c r="A186" s="16">
        <v>184</v>
      </c>
      <c r="D186"/>
      <c r="F186"/>
      <c r="G186"/>
      <c r="H186"/>
      <c r="I186"/>
      <c r="J186"/>
    </row>
    <row r="187" spans="1:10" x14ac:dyDescent="0.25">
      <c r="A187" s="16">
        <v>185</v>
      </c>
      <c r="D187"/>
      <c r="F187"/>
      <c r="G187"/>
      <c r="H187"/>
      <c r="I187"/>
      <c r="J187"/>
    </row>
    <row r="188" spans="1:10" x14ac:dyDescent="0.25">
      <c r="A188" s="16">
        <v>186</v>
      </c>
      <c r="D188"/>
      <c r="F188"/>
      <c r="G188"/>
      <c r="H188"/>
      <c r="I188"/>
      <c r="J188"/>
    </row>
    <row r="189" spans="1:10" x14ac:dyDescent="0.25">
      <c r="A189" s="16">
        <v>187</v>
      </c>
      <c r="D189"/>
      <c r="F189"/>
      <c r="G189"/>
      <c r="H189"/>
      <c r="I189"/>
      <c r="J189"/>
    </row>
    <row r="190" spans="1:10" x14ac:dyDescent="0.25">
      <c r="A190" s="16">
        <v>188</v>
      </c>
      <c r="D190"/>
      <c r="F190"/>
      <c r="G190"/>
      <c r="H190"/>
      <c r="I190"/>
      <c r="J190"/>
    </row>
    <row r="191" spans="1:10" x14ac:dyDescent="0.25">
      <c r="A191" s="16">
        <v>189</v>
      </c>
      <c r="D191"/>
      <c r="F191"/>
      <c r="G191"/>
      <c r="H191"/>
      <c r="I191"/>
      <c r="J191"/>
    </row>
    <row r="192" spans="1:10" x14ac:dyDescent="0.25">
      <c r="A192" s="16">
        <v>190</v>
      </c>
      <c r="D192"/>
      <c r="F192"/>
      <c r="G192"/>
      <c r="H192"/>
      <c r="I192"/>
      <c r="J192"/>
    </row>
    <row r="193" spans="1:10" x14ac:dyDescent="0.25">
      <c r="A193" s="16">
        <v>191</v>
      </c>
      <c r="D193"/>
      <c r="F193"/>
      <c r="G193"/>
      <c r="H193"/>
      <c r="I193"/>
      <c r="J193"/>
    </row>
    <row r="194" spans="1:10" x14ac:dyDescent="0.25">
      <c r="A194" s="16">
        <v>192</v>
      </c>
      <c r="D194"/>
      <c r="F194"/>
      <c r="G194"/>
      <c r="H194"/>
      <c r="I194"/>
      <c r="J194"/>
    </row>
    <row r="195" spans="1:10" x14ac:dyDescent="0.25">
      <c r="A195" s="16">
        <v>193</v>
      </c>
      <c r="D195"/>
      <c r="F195"/>
      <c r="G195"/>
      <c r="H195"/>
      <c r="I195"/>
      <c r="J195"/>
    </row>
    <row r="196" spans="1:10" x14ac:dyDescent="0.25">
      <c r="A196" s="16">
        <v>194</v>
      </c>
      <c r="D196"/>
      <c r="F196"/>
      <c r="G196"/>
      <c r="H196"/>
      <c r="I196"/>
      <c r="J196"/>
    </row>
    <row r="197" spans="1:10" x14ac:dyDescent="0.25">
      <c r="A197" s="16">
        <v>195</v>
      </c>
      <c r="D197"/>
      <c r="F197"/>
      <c r="G197"/>
      <c r="H197"/>
      <c r="I197"/>
      <c r="J197"/>
    </row>
    <row r="198" spans="1:10" x14ac:dyDescent="0.25">
      <c r="A198" s="16">
        <v>196</v>
      </c>
      <c r="D198"/>
      <c r="F198"/>
      <c r="G198"/>
      <c r="H198"/>
      <c r="I198"/>
      <c r="J198"/>
    </row>
    <row r="199" spans="1:10" x14ac:dyDescent="0.25">
      <c r="A199" s="16">
        <v>197</v>
      </c>
      <c r="D199"/>
      <c r="F199"/>
      <c r="G199"/>
      <c r="H199"/>
      <c r="I199"/>
      <c r="J199"/>
    </row>
    <row r="200" spans="1:10" x14ac:dyDescent="0.25">
      <c r="A200" s="16">
        <v>198</v>
      </c>
      <c r="D200"/>
      <c r="F200"/>
      <c r="G200"/>
      <c r="H200"/>
      <c r="I200"/>
      <c r="J200"/>
    </row>
  </sheetData>
  <mergeCells count="3">
    <mergeCell ref="A1:A2"/>
    <mergeCell ref="G1:G2"/>
    <mergeCell ref="K2:M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131FC-EAAF-455C-BE65-35B594A1C203}">
  <sheetPr codeName="Sheet15">
    <tabColor theme="9" tint="0.79998168889431442"/>
  </sheetPr>
  <dimension ref="A1:G102"/>
  <sheetViews>
    <sheetView zoomScale="130" zoomScaleNormal="130" workbookViewId="0">
      <pane ySplit="1" topLeftCell="A2" activePane="bottomLeft" state="frozen"/>
      <selection activeCell="B10" sqref="B10"/>
      <selection pane="bottomLeft" activeCell="B10" sqref="B10"/>
    </sheetView>
  </sheetViews>
  <sheetFormatPr defaultRowHeight="15" x14ac:dyDescent="0.25"/>
  <cols>
    <col min="1" max="1" width="12.140625" customWidth="1"/>
    <col min="2" max="4" width="31.7109375" style="83" customWidth="1"/>
    <col min="5" max="5" width="12.28515625" style="4" customWidth="1"/>
    <col min="6" max="6" width="20.42578125" customWidth="1"/>
    <col min="9" max="9" width="29.42578125" bestFit="1" customWidth="1"/>
  </cols>
  <sheetData>
    <row r="1" spans="1:7" ht="27.75" customHeight="1" thickBot="1" x14ac:dyDescent="0.3">
      <c r="A1" s="77" t="s">
        <v>94</v>
      </c>
      <c r="B1" s="78" t="s">
        <v>95</v>
      </c>
      <c r="C1" s="79" t="s">
        <v>78</v>
      </c>
      <c r="D1" s="79" t="s">
        <v>79</v>
      </c>
      <c r="E1" s="80" t="s">
        <v>96</v>
      </c>
      <c r="F1" s="81" t="s">
        <v>97</v>
      </c>
      <c r="G1" s="82">
        <f>COUNTIF(B:B,"&lt;&gt;"&amp;"")-1</f>
        <v>7</v>
      </c>
    </row>
    <row r="2" spans="1:7" x14ac:dyDescent="0.25">
      <c r="A2" s="16">
        <v>1</v>
      </c>
      <c r="B2" t="s">
        <v>98</v>
      </c>
      <c r="C2"/>
      <c r="D2"/>
      <c r="E2" s="51">
        <f>IF(LEN(B2)&gt;0,COUNTIF(Projects!G:G,Markers!A2),"")</f>
        <v>1</v>
      </c>
      <c r="F2" s="389" t="s">
        <v>53</v>
      </c>
      <c r="G2" s="390"/>
    </row>
    <row r="3" spans="1:7" x14ac:dyDescent="0.25">
      <c r="A3" s="16">
        <v>2</v>
      </c>
      <c r="B3" t="s">
        <v>99</v>
      </c>
      <c r="C3"/>
      <c r="D3"/>
      <c r="E3" s="51">
        <f>IF(LEN(B3)&gt;0,COUNTIF(Projects!G:G,Markers!A3),"")</f>
        <v>1</v>
      </c>
      <c r="F3" s="379"/>
      <c r="G3" s="380"/>
    </row>
    <row r="4" spans="1:7" x14ac:dyDescent="0.25">
      <c r="A4" s="16">
        <v>3</v>
      </c>
      <c r="B4" t="s">
        <v>100</v>
      </c>
      <c r="C4"/>
      <c r="D4"/>
      <c r="E4" s="51">
        <f>IF(LEN(B4)&gt;0,COUNTIF(Projects!G:G,Markers!A4),"")</f>
        <v>1</v>
      </c>
      <c r="F4" s="379"/>
      <c r="G4" s="380"/>
    </row>
    <row r="5" spans="1:7" x14ac:dyDescent="0.25">
      <c r="A5" s="16">
        <v>4</v>
      </c>
      <c r="B5" t="s">
        <v>101</v>
      </c>
      <c r="C5"/>
      <c r="D5"/>
      <c r="E5" s="51">
        <f>IF(LEN(B5)&gt;0,COUNTIF(Projects!G:G,Markers!A5),"")</f>
        <v>1</v>
      </c>
      <c r="F5" s="379"/>
      <c r="G5" s="380"/>
    </row>
    <row r="6" spans="1:7" x14ac:dyDescent="0.25">
      <c r="A6" s="16">
        <v>5</v>
      </c>
      <c r="B6" t="s">
        <v>102</v>
      </c>
      <c r="C6"/>
      <c r="D6"/>
      <c r="E6" s="51">
        <f>IF(LEN(B6)&gt;0,COUNTIF(Projects!G:G,Markers!A6),"")</f>
        <v>1</v>
      </c>
    </row>
    <row r="7" spans="1:7" x14ac:dyDescent="0.25">
      <c r="A7" s="16">
        <v>6</v>
      </c>
      <c r="B7" t="s">
        <v>103</v>
      </c>
      <c r="C7"/>
      <c r="D7"/>
      <c r="E7" s="51">
        <f>IF(LEN(B7)&gt;0,COUNTIF(Projects!G:G,Markers!A7),"")</f>
        <v>1</v>
      </c>
    </row>
    <row r="8" spans="1:7" x14ac:dyDescent="0.25">
      <c r="A8" s="16">
        <v>7</v>
      </c>
      <c r="B8" t="s">
        <v>104</v>
      </c>
      <c r="C8"/>
      <c r="D8"/>
      <c r="E8" s="51">
        <f>IF(LEN(B8)&gt;0,COUNTIF(Projects!G:G,Markers!A8),"")</f>
        <v>1</v>
      </c>
    </row>
    <row r="9" spans="1:7" x14ac:dyDescent="0.25">
      <c r="A9" s="16">
        <v>8</v>
      </c>
      <c r="B9"/>
      <c r="C9"/>
      <c r="D9"/>
      <c r="E9" s="51" t="str">
        <f>IF(LEN(B9)&gt;0,COUNTIF(Projects!G:G,Markers!A9),"")</f>
        <v/>
      </c>
    </row>
    <row r="10" spans="1:7" x14ac:dyDescent="0.25">
      <c r="A10" s="16">
        <v>9</v>
      </c>
      <c r="B10"/>
      <c r="C10"/>
      <c r="D10"/>
      <c r="E10" s="51" t="str">
        <f>IF(LEN(B10)&gt;0,COUNTIF(Projects!G:G,Markers!A10),"")</f>
        <v/>
      </c>
    </row>
    <row r="11" spans="1:7" x14ac:dyDescent="0.25">
      <c r="A11" s="16">
        <v>10</v>
      </c>
      <c r="B11"/>
      <c r="C11"/>
      <c r="D11"/>
      <c r="E11" s="51" t="str">
        <f>IF(LEN(B11)&gt;0,COUNTIF(Projects!G:G,Markers!A11),"")</f>
        <v/>
      </c>
    </row>
    <row r="12" spans="1:7" x14ac:dyDescent="0.25">
      <c r="A12" s="16">
        <v>11</v>
      </c>
      <c r="B12"/>
      <c r="C12"/>
      <c r="D12"/>
      <c r="E12" s="51" t="str">
        <f>IF(LEN(B12)&gt;0,COUNTIF(Projects!G:G,Markers!A12),"")</f>
        <v/>
      </c>
    </row>
    <row r="13" spans="1:7" x14ac:dyDescent="0.25">
      <c r="A13" s="16">
        <v>12</v>
      </c>
      <c r="B13"/>
      <c r="C13"/>
      <c r="D13"/>
      <c r="E13" s="51" t="str">
        <f>IF(LEN(B13)&gt;0,COUNTIF(Projects!G:G,Markers!A13),"")</f>
        <v/>
      </c>
    </row>
    <row r="14" spans="1:7" x14ac:dyDescent="0.25">
      <c r="A14" s="16">
        <v>13</v>
      </c>
      <c r="B14"/>
      <c r="C14"/>
      <c r="D14"/>
      <c r="E14" s="51" t="str">
        <f>IF(LEN(B14)&gt;0,COUNTIF(Projects!G:G,Markers!A14),"")</f>
        <v/>
      </c>
    </row>
    <row r="15" spans="1:7" x14ac:dyDescent="0.25">
      <c r="A15" s="16">
        <v>14</v>
      </c>
      <c r="B15"/>
      <c r="C15"/>
      <c r="D15"/>
      <c r="E15" s="51" t="str">
        <f>IF(LEN(B15)&gt;0,COUNTIF(Projects!G:G,Markers!A15),"")</f>
        <v/>
      </c>
    </row>
    <row r="16" spans="1:7" x14ac:dyDescent="0.25">
      <c r="A16" s="16">
        <v>15</v>
      </c>
      <c r="B16"/>
      <c r="C16"/>
      <c r="D16"/>
      <c r="E16" s="51" t="str">
        <f>IF(LEN(B16)&gt;0,COUNTIF(Projects!G:G,Markers!A16),"")</f>
        <v/>
      </c>
    </row>
    <row r="17" spans="1:5" x14ac:dyDescent="0.25">
      <c r="A17" s="16">
        <v>16</v>
      </c>
      <c r="B17"/>
      <c r="C17"/>
      <c r="D17"/>
      <c r="E17" s="51" t="str">
        <f>IF(LEN(B17)&gt;0,COUNTIF(Projects!G:G,Markers!A17),"")</f>
        <v/>
      </c>
    </row>
    <row r="18" spans="1:5" x14ac:dyDescent="0.25">
      <c r="A18" s="16">
        <v>17</v>
      </c>
      <c r="B18"/>
      <c r="C18"/>
      <c r="D18"/>
      <c r="E18" s="51" t="str">
        <f>IF(LEN(B18)&gt;0,COUNTIF(Projects!G:G,Markers!A18),"")</f>
        <v/>
      </c>
    </row>
    <row r="19" spans="1:5" x14ac:dyDescent="0.25">
      <c r="A19" s="16">
        <v>18</v>
      </c>
      <c r="B19"/>
      <c r="C19"/>
      <c r="D19"/>
      <c r="E19" s="51" t="str">
        <f>IF(LEN(B19)&gt;0,COUNTIF(Projects!G:G,Markers!A19),"")</f>
        <v/>
      </c>
    </row>
    <row r="20" spans="1:5" x14ac:dyDescent="0.25">
      <c r="A20" s="16">
        <v>19</v>
      </c>
      <c r="B20"/>
      <c r="C20"/>
      <c r="D20"/>
      <c r="E20" s="51" t="str">
        <f>IF(LEN(B20)&gt;0,COUNTIF(Projects!G:G,Markers!A20),"")</f>
        <v/>
      </c>
    </row>
    <row r="21" spans="1:5" x14ac:dyDescent="0.25">
      <c r="A21" s="16">
        <v>20</v>
      </c>
      <c r="B21"/>
      <c r="C21"/>
      <c r="D21"/>
      <c r="E21" s="51" t="str">
        <f>IF(LEN(B21)&gt;0,COUNTIF(Projects!G:G,Markers!A21),"")</f>
        <v/>
      </c>
    </row>
    <row r="22" spans="1:5" x14ac:dyDescent="0.25">
      <c r="A22" s="16">
        <v>21</v>
      </c>
      <c r="B22"/>
      <c r="C22"/>
      <c r="D22"/>
      <c r="E22" s="51" t="str">
        <f>IF(LEN(B22)&gt;0,COUNTIF(Projects!G:G,Markers!A22),"")</f>
        <v/>
      </c>
    </row>
    <row r="23" spans="1:5" x14ac:dyDescent="0.25">
      <c r="A23" s="16">
        <v>22</v>
      </c>
      <c r="B23"/>
      <c r="C23"/>
      <c r="D23"/>
      <c r="E23" s="51" t="str">
        <f>IF(LEN(B23)&gt;0,COUNTIF(Projects!G:G,Markers!A23),"")</f>
        <v/>
      </c>
    </row>
    <row r="24" spans="1:5" x14ac:dyDescent="0.25">
      <c r="A24" s="16">
        <v>23</v>
      </c>
      <c r="B24"/>
      <c r="C24"/>
      <c r="D24"/>
      <c r="E24" s="51" t="str">
        <f>IF(LEN(B24)&gt;0,COUNTIF(Projects!G:G,Markers!A24),"")</f>
        <v/>
      </c>
    </row>
    <row r="25" spans="1:5" x14ac:dyDescent="0.25">
      <c r="A25" s="16">
        <v>24</v>
      </c>
      <c r="B25"/>
      <c r="C25"/>
      <c r="D25"/>
      <c r="E25" s="51" t="str">
        <f>IF(LEN(B25)&gt;0,COUNTIF(Projects!G:G,Markers!A25),"")</f>
        <v/>
      </c>
    </row>
    <row r="26" spans="1:5" x14ac:dyDescent="0.25">
      <c r="A26" s="16">
        <v>25</v>
      </c>
      <c r="B26"/>
      <c r="C26"/>
      <c r="D26"/>
      <c r="E26" s="51" t="str">
        <f>IF(LEN(B26)&gt;0,COUNTIF(Projects!G:G,Markers!A26),"")</f>
        <v/>
      </c>
    </row>
    <row r="27" spans="1:5" x14ac:dyDescent="0.25">
      <c r="A27" s="16">
        <v>26</v>
      </c>
      <c r="B27"/>
      <c r="C27"/>
      <c r="D27"/>
      <c r="E27" s="51" t="str">
        <f>IF(LEN(B27)&gt;0,COUNTIF(Projects!G:G,Markers!A27),"")</f>
        <v/>
      </c>
    </row>
    <row r="28" spans="1:5" x14ac:dyDescent="0.25">
      <c r="A28" s="16">
        <v>27</v>
      </c>
      <c r="B28"/>
      <c r="C28"/>
      <c r="D28"/>
      <c r="E28" s="51" t="str">
        <f>IF(LEN(B28)&gt;0,COUNTIF(Projects!G:G,Markers!A28),"")</f>
        <v/>
      </c>
    </row>
    <row r="29" spans="1:5" x14ac:dyDescent="0.25">
      <c r="A29" s="16">
        <v>28</v>
      </c>
      <c r="B29"/>
      <c r="C29"/>
      <c r="D29"/>
      <c r="E29" s="51" t="str">
        <f>IF(LEN(B29)&gt;0,COUNTIF(Projects!G:G,Markers!A29),"")</f>
        <v/>
      </c>
    </row>
    <row r="30" spans="1:5" x14ac:dyDescent="0.25">
      <c r="A30" s="16">
        <v>29</v>
      </c>
      <c r="B30"/>
      <c r="C30"/>
      <c r="D30"/>
      <c r="E30" s="51" t="str">
        <f>IF(LEN(B30)&gt;0,COUNTIF(Projects!G:G,Markers!A30),"")</f>
        <v/>
      </c>
    </row>
    <row r="31" spans="1:5" x14ac:dyDescent="0.25">
      <c r="A31" s="16">
        <v>30</v>
      </c>
      <c r="B31"/>
      <c r="C31"/>
      <c r="D31"/>
      <c r="E31" s="51" t="str">
        <f>IF(LEN(B31)&gt;0,COUNTIF(Projects!G:G,Markers!A31),"")</f>
        <v/>
      </c>
    </row>
    <row r="32" spans="1:5" x14ac:dyDescent="0.25">
      <c r="A32" s="16">
        <v>31</v>
      </c>
      <c r="B32"/>
      <c r="C32"/>
      <c r="D32"/>
      <c r="E32" s="51" t="str">
        <f>IF(LEN(B32)&gt;0,COUNTIF(Projects!G:G,Markers!A32),"")</f>
        <v/>
      </c>
    </row>
    <row r="33" spans="1:5" x14ac:dyDescent="0.25">
      <c r="A33" s="16">
        <v>32</v>
      </c>
      <c r="B33"/>
      <c r="C33"/>
      <c r="D33"/>
      <c r="E33" s="51" t="str">
        <f>IF(LEN(B33)&gt;0,COUNTIF(Projects!G:G,Markers!A33),"")</f>
        <v/>
      </c>
    </row>
    <row r="34" spans="1:5" x14ac:dyDescent="0.25">
      <c r="A34" s="16">
        <v>33</v>
      </c>
      <c r="B34"/>
      <c r="C34"/>
      <c r="D34"/>
      <c r="E34" s="51" t="str">
        <f>IF(LEN(B34)&gt;0,COUNTIF(Projects!G:G,Markers!A34),"")</f>
        <v/>
      </c>
    </row>
    <row r="35" spans="1:5" x14ac:dyDescent="0.25">
      <c r="A35" s="16">
        <v>34</v>
      </c>
      <c r="B35"/>
      <c r="C35"/>
      <c r="D35"/>
      <c r="E35" s="51" t="str">
        <f>IF(LEN(B35)&gt;0,COUNTIF(Projects!G:G,Markers!A35),"")</f>
        <v/>
      </c>
    </row>
    <row r="36" spans="1:5" x14ac:dyDescent="0.25">
      <c r="A36" s="16">
        <v>35</v>
      </c>
      <c r="B36"/>
      <c r="C36"/>
      <c r="D36"/>
      <c r="E36" s="51" t="str">
        <f>IF(LEN(B36)&gt;0,COUNTIF(Projects!G:G,Markers!A36),"")</f>
        <v/>
      </c>
    </row>
    <row r="37" spans="1:5" x14ac:dyDescent="0.25">
      <c r="A37" s="16">
        <v>36</v>
      </c>
      <c r="B37"/>
      <c r="C37"/>
      <c r="D37"/>
      <c r="E37" s="51" t="str">
        <f>IF(LEN(B37)&gt;0,COUNTIF(Projects!G:G,Markers!A37),"")</f>
        <v/>
      </c>
    </row>
    <row r="38" spans="1:5" x14ac:dyDescent="0.25">
      <c r="A38" s="16">
        <v>37</v>
      </c>
      <c r="B38"/>
      <c r="C38"/>
      <c r="D38"/>
      <c r="E38" s="51" t="str">
        <f>IF(LEN(B38)&gt;0,COUNTIF(Projects!G:G,Markers!A38),"")</f>
        <v/>
      </c>
    </row>
    <row r="39" spans="1:5" x14ac:dyDescent="0.25">
      <c r="A39" s="16">
        <v>38</v>
      </c>
      <c r="B39"/>
      <c r="C39"/>
      <c r="D39"/>
      <c r="E39" s="51" t="str">
        <f>IF(LEN(B39)&gt;0,COUNTIF(Projects!G:G,Markers!A39),"")</f>
        <v/>
      </c>
    </row>
    <row r="40" spans="1:5" x14ac:dyDescent="0.25">
      <c r="A40" s="16">
        <v>39</v>
      </c>
      <c r="B40"/>
      <c r="C40"/>
      <c r="D40"/>
      <c r="E40" s="51" t="str">
        <f>IF(LEN(B40)&gt;0,COUNTIF(Projects!G:G,Markers!A40),"")</f>
        <v/>
      </c>
    </row>
    <row r="41" spans="1:5" x14ac:dyDescent="0.25">
      <c r="A41" s="16">
        <v>40</v>
      </c>
      <c r="B41"/>
      <c r="C41"/>
      <c r="D41"/>
      <c r="E41" s="51" t="str">
        <f>IF(LEN(B41)&gt;0,COUNTIF(Projects!G:G,Markers!A41),"")</f>
        <v/>
      </c>
    </row>
    <row r="42" spans="1:5" x14ac:dyDescent="0.25">
      <c r="A42" s="16">
        <v>41</v>
      </c>
      <c r="B42"/>
      <c r="C42"/>
      <c r="D42"/>
      <c r="E42" s="51" t="str">
        <f>IF(LEN(B42)&gt;0,COUNTIF(Projects!G:G,Markers!A42),"")</f>
        <v/>
      </c>
    </row>
    <row r="43" spans="1:5" x14ac:dyDescent="0.25">
      <c r="A43" s="16">
        <v>42</v>
      </c>
      <c r="B43"/>
      <c r="C43"/>
      <c r="D43"/>
      <c r="E43" s="51" t="str">
        <f>IF(LEN(B43)&gt;0,COUNTIF(Projects!G:G,Markers!A43),"")</f>
        <v/>
      </c>
    </row>
    <row r="44" spans="1:5" x14ac:dyDescent="0.25">
      <c r="A44" s="16">
        <v>43</v>
      </c>
      <c r="B44"/>
      <c r="C44"/>
      <c r="D44"/>
      <c r="E44" s="51" t="str">
        <f>IF(LEN(B44)&gt;0,COUNTIF(Projects!G:G,Markers!A44),"")</f>
        <v/>
      </c>
    </row>
    <row r="45" spans="1:5" x14ac:dyDescent="0.25">
      <c r="A45" s="16">
        <v>44</v>
      </c>
      <c r="B45"/>
      <c r="C45"/>
      <c r="D45"/>
      <c r="E45" s="51" t="str">
        <f>IF(LEN(B45)&gt;0,COUNTIF(Projects!G:G,Markers!A45),"")</f>
        <v/>
      </c>
    </row>
    <row r="46" spans="1:5" x14ac:dyDescent="0.25">
      <c r="A46" s="16">
        <v>45</v>
      </c>
      <c r="B46"/>
      <c r="C46"/>
      <c r="D46"/>
      <c r="E46" s="51" t="str">
        <f>IF(LEN(B46)&gt;0,COUNTIF(Projects!G:G,Markers!A46),"")</f>
        <v/>
      </c>
    </row>
    <row r="47" spans="1:5" x14ac:dyDescent="0.25">
      <c r="A47" s="16">
        <v>46</v>
      </c>
      <c r="B47"/>
      <c r="C47"/>
      <c r="D47"/>
      <c r="E47" s="51" t="str">
        <f>IF(LEN(B47)&gt;0,COUNTIF(Projects!G:G,Markers!A47),"")</f>
        <v/>
      </c>
    </row>
    <row r="48" spans="1:5" x14ac:dyDescent="0.25">
      <c r="A48" s="16">
        <v>47</v>
      </c>
      <c r="B48"/>
      <c r="C48"/>
      <c r="D48"/>
      <c r="E48" s="51" t="str">
        <f>IF(LEN(B48)&gt;0,COUNTIF(Projects!G:G,Markers!A48),"")</f>
        <v/>
      </c>
    </row>
    <row r="49" spans="1:5" x14ac:dyDescent="0.25">
      <c r="A49" s="16">
        <v>48</v>
      </c>
      <c r="B49"/>
      <c r="C49"/>
      <c r="D49"/>
      <c r="E49" s="51" t="str">
        <f>IF(LEN(B49)&gt;0,COUNTIF(Projects!G:G,Markers!A49),"")</f>
        <v/>
      </c>
    </row>
    <row r="50" spans="1:5" x14ac:dyDescent="0.25">
      <c r="A50" s="16">
        <v>49</v>
      </c>
      <c r="B50"/>
      <c r="C50"/>
      <c r="D50"/>
      <c r="E50" s="51" t="str">
        <f>IF(LEN(B50)&gt;0,COUNTIF(Projects!G:G,Markers!A50),"")</f>
        <v/>
      </c>
    </row>
    <row r="51" spans="1:5" x14ac:dyDescent="0.25">
      <c r="A51" s="16">
        <v>50</v>
      </c>
      <c r="B51"/>
      <c r="C51"/>
      <c r="D51"/>
      <c r="E51" s="51" t="str">
        <f>IF(LEN(B51)&gt;0,COUNTIF(Projects!G:G,Markers!A51),"")</f>
        <v/>
      </c>
    </row>
    <row r="52" spans="1:5" x14ac:dyDescent="0.25">
      <c r="A52" s="16">
        <v>51</v>
      </c>
      <c r="B52"/>
      <c r="C52"/>
      <c r="D52"/>
      <c r="E52" s="51" t="str">
        <f>IF(LEN(B52)&gt;0,COUNTIF(Projects!G:G,Markers!A52),"")</f>
        <v/>
      </c>
    </row>
    <row r="53" spans="1:5" x14ac:dyDescent="0.25">
      <c r="A53" s="16">
        <v>52</v>
      </c>
      <c r="B53"/>
      <c r="C53"/>
      <c r="D53"/>
      <c r="E53" s="51" t="str">
        <f>IF(LEN(B53)&gt;0,COUNTIF(Projects!G:G,Markers!A53),"")</f>
        <v/>
      </c>
    </row>
    <row r="54" spans="1:5" x14ac:dyDescent="0.25">
      <c r="A54" s="16">
        <v>53</v>
      </c>
      <c r="B54"/>
      <c r="C54"/>
      <c r="D54"/>
      <c r="E54" s="51" t="str">
        <f>IF(LEN(B54)&gt;0,COUNTIF(Projects!G:G,Markers!A54),"")</f>
        <v/>
      </c>
    </row>
    <row r="55" spans="1:5" x14ac:dyDescent="0.25">
      <c r="A55" s="16">
        <v>54</v>
      </c>
      <c r="B55"/>
      <c r="C55"/>
      <c r="D55"/>
      <c r="E55" s="51" t="str">
        <f>IF(LEN(B55)&gt;0,COUNTIF(Projects!G:G,Markers!A55),"")</f>
        <v/>
      </c>
    </row>
    <row r="56" spans="1:5" x14ac:dyDescent="0.25">
      <c r="A56" s="16">
        <v>55</v>
      </c>
      <c r="B56"/>
      <c r="C56"/>
      <c r="D56"/>
      <c r="E56" s="51" t="str">
        <f>IF(LEN(B56)&gt;0,COUNTIF(Projects!G:G,Markers!A56),"")</f>
        <v/>
      </c>
    </row>
    <row r="57" spans="1:5" x14ac:dyDescent="0.25">
      <c r="A57" s="16">
        <v>56</v>
      </c>
      <c r="B57"/>
      <c r="C57"/>
      <c r="D57"/>
      <c r="E57" s="51" t="str">
        <f>IF(LEN(B57)&gt;0,COUNTIF(Projects!G:G,Markers!A57),"")</f>
        <v/>
      </c>
    </row>
    <row r="58" spans="1:5" x14ac:dyDescent="0.25">
      <c r="A58" s="16">
        <v>57</v>
      </c>
      <c r="B58"/>
      <c r="C58"/>
      <c r="D58"/>
      <c r="E58" s="51" t="str">
        <f>IF(LEN(B58)&gt;0,COUNTIF(Projects!G:G,Markers!A58),"")</f>
        <v/>
      </c>
    </row>
    <row r="59" spans="1:5" x14ac:dyDescent="0.25">
      <c r="A59" s="16">
        <v>58</v>
      </c>
      <c r="B59"/>
      <c r="C59"/>
      <c r="D59"/>
      <c r="E59" s="51" t="str">
        <f>IF(LEN(B59)&gt;0,COUNTIF(Projects!G:G,Markers!A59),"")</f>
        <v/>
      </c>
    </row>
    <row r="60" spans="1:5" x14ac:dyDescent="0.25">
      <c r="A60" s="16">
        <v>59</v>
      </c>
      <c r="B60"/>
      <c r="C60"/>
      <c r="D60"/>
      <c r="E60" s="51" t="str">
        <f>IF(LEN(B60)&gt;0,COUNTIF(Projects!G:G,Markers!A60),"")</f>
        <v/>
      </c>
    </row>
    <row r="61" spans="1:5" x14ac:dyDescent="0.25">
      <c r="A61" s="16">
        <v>60</v>
      </c>
      <c r="B61"/>
      <c r="C61"/>
      <c r="D61"/>
      <c r="E61" s="51" t="str">
        <f>IF(LEN(B61)&gt;0,COUNTIF(Projects!G:G,Markers!A61),"")</f>
        <v/>
      </c>
    </row>
    <row r="62" spans="1:5" x14ac:dyDescent="0.25">
      <c r="A62" s="16">
        <v>61</v>
      </c>
      <c r="B62"/>
      <c r="C62"/>
      <c r="D62"/>
      <c r="E62" s="51" t="str">
        <f>IF(LEN(B62)&gt;0,COUNTIF(Projects!G:G,Markers!A62),"")</f>
        <v/>
      </c>
    </row>
    <row r="63" spans="1:5" x14ac:dyDescent="0.25">
      <c r="A63" s="16">
        <v>62</v>
      </c>
      <c r="B63"/>
      <c r="C63"/>
      <c r="D63"/>
      <c r="E63" s="51" t="str">
        <f>IF(LEN(B63)&gt;0,COUNTIF(Projects!G:G,Markers!A63),"")</f>
        <v/>
      </c>
    </row>
    <row r="64" spans="1:5" x14ac:dyDescent="0.25">
      <c r="A64" s="16">
        <v>63</v>
      </c>
      <c r="B64"/>
      <c r="C64"/>
      <c r="D64"/>
      <c r="E64" s="51" t="str">
        <f>IF(LEN(B64)&gt;0,COUNTIF(Projects!G:G,Markers!A64),"")</f>
        <v/>
      </c>
    </row>
    <row r="65" spans="1:5" x14ac:dyDescent="0.25">
      <c r="A65" s="16">
        <v>64</v>
      </c>
      <c r="B65"/>
      <c r="C65"/>
      <c r="D65"/>
      <c r="E65" s="51" t="str">
        <f>IF(LEN(B65)&gt;0,COUNTIF(Projects!G:G,Markers!A65),"")</f>
        <v/>
      </c>
    </row>
    <row r="66" spans="1:5" x14ac:dyDescent="0.25">
      <c r="A66" s="16">
        <v>65</v>
      </c>
      <c r="B66"/>
      <c r="C66"/>
      <c r="D66"/>
      <c r="E66" s="51" t="str">
        <f>IF(LEN(B66)&gt;0,COUNTIF(Projects!G:G,Markers!A66),"")</f>
        <v/>
      </c>
    </row>
    <row r="67" spans="1:5" x14ac:dyDescent="0.25">
      <c r="A67" s="16">
        <v>66</v>
      </c>
      <c r="B67"/>
      <c r="C67"/>
      <c r="D67"/>
      <c r="E67" s="51" t="str">
        <f>IF(LEN(B67)&gt;0,COUNTIF(Projects!G:G,Markers!A67),"")</f>
        <v/>
      </c>
    </row>
    <row r="68" spans="1:5" x14ac:dyDescent="0.25">
      <c r="A68" s="16">
        <v>67</v>
      </c>
      <c r="B68"/>
      <c r="C68"/>
      <c r="D68"/>
      <c r="E68" s="51" t="str">
        <f>IF(LEN(B68)&gt;0,COUNTIF(Projects!G:G,Markers!A68),"")</f>
        <v/>
      </c>
    </row>
    <row r="69" spans="1:5" x14ac:dyDescent="0.25">
      <c r="A69" s="16">
        <v>68</v>
      </c>
      <c r="B69"/>
      <c r="C69"/>
      <c r="D69"/>
      <c r="E69" s="51" t="str">
        <f>IF(LEN(B69)&gt;0,COUNTIF(Projects!G:G,Markers!A69),"")</f>
        <v/>
      </c>
    </row>
    <row r="70" spans="1:5" x14ac:dyDescent="0.25">
      <c r="A70" s="16">
        <v>69</v>
      </c>
      <c r="B70"/>
      <c r="C70"/>
      <c r="D70"/>
      <c r="E70" s="51" t="str">
        <f>IF(LEN(B70)&gt;0,COUNTIF(Projects!G:G,Markers!A70),"")</f>
        <v/>
      </c>
    </row>
    <row r="71" spans="1:5" x14ac:dyDescent="0.25">
      <c r="A71" s="16">
        <v>70</v>
      </c>
      <c r="B71"/>
      <c r="C71"/>
      <c r="D71"/>
      <c r="E71" s="51" t="str">
        <f>IF(LEN(B71)&gt;0,COUNTIF(Projects!G:G,Markers!A71),"")</f>
        <v/>
      </c>
    </row>
    <row r="72" spans="1:5" x14ac:dyDescent="0.25">
      <c r="A72" s="16">
        <v>71</v>
      </c>
      <c r="B72"/>
      <c r="C72"/>
      <c r="D72"/>
      <c r="E72" s="51" t="str">
        <f>IF(LEN(B72)&gt;0,COUNTIF(Projects!G:G,Markers!A72),"")</f>
        <v/>
      </c>
    </row>
    <row r="73" spans="1:5" x14ac:dyDescent="0.25">
      <c r="A73" s="16">
        <v>72</v>
      </c>
      <c r="B73"/>
      <c r="C73"/>
      <c r="D73"/>
      <c r="E73" s="51" t="str">
        <f>IF(LEN(B73)&gt;0,COUNTIF(Projects!G:G,Markers!A73),"")</f>
        <v/>
      </c>
    </row>
    <row r="74" spans="1:5" x14ac:dyDescent="0.25">
      <c r="A74" s="16">
        <v>73</v>
      </c>
      <c r="B74"/>
      <c r="C74"/>
      <c r="D74"/>
      <c r="E74" s="51" t="str">
        <f>IF(LEN(B74)&gt;0,COUNTIF(Projects!G:G,Markers!A74),"")</f>
        <v/>
      </c>
    </row>
    <row r="75" spans="1:5" x14ac:dyDescent="0.25">
      <c r="A75" s="16">
        <v>74</v>
      </c>
      <c r="B75"/>
      <c r="C75"/>
      <c r="D75"/>
      <c r="E75" s="51" t="str">
        <f>IF(LEN(B75)&gt;0,COUNTIF(Projects!G:G,Markers!A75),"")</f>
        <v/>
      </c>
    </row>
    <row r="76" spans="1:5" x14ac:dyDescent="0.25">
      <c r="A76" s="16">
        <v>75</v>
      </c>
      <c r="B76"/>
      <c r="C76"/>
      <c r="D76"/>
      <c r="E76" s="51" t="str">
        <f>IF(LEN(B76)&gt;0,COUNTIF(Projects!G:G,Markers!A76),"")</f>
        <v/>
      </c>
    </row>
    <row r="77" spans="1:5" x14ac:dyDescent="0.25">
      <c r="A77" s="16">
        <v>76</v>
      </c>
      <c r="B77"/>
      <c r="C77"/>
      <c r="D77"/>
      <c r="E77" s="51" t="str">
        <f>IF(LEN(B77)&gt;0,COUNTIF(Projects!G:G,Markers!A77),"")</f>
        <v/>
      </c>
    </row>
    <row r="78" spans="1:5" x14ac:dyDescent="0.25">
      <c r="A78" s="16">
        <v>77</v>
      </c>
      <c r="B78"/>
      <c r="C78"/>
      <c r="D78"/>
      <c r="E78" s="51" t="str">
        <f>IF(LEN(B78)&gt;0,COUNTIF(Projects!G:G,Markers!A78),"")</f>
        <v/>
      </c>
    </row>
    <row r="79" spans="1:5" x14ac:dyDescent="0.25">
      <c r="A79" s="16">
        <v>78</v>
      </c>
      <c r="B79"/>
      <c r="C79"/>
      <c r="D79"/>
      <c r="E79" s="51" t="str">
        <f>IF(LEN(B79)&gt;0,COUNTIF(Projects!G:G,Markers!A79),"")</f>
        <v/>
      </c>
    </row>
    <row r="80" spans="1:5" x14ac:dyDescent="0.25">
      <c r="A80" s="16">
        <v>79</v>
      </c>
      <c r="B80"/>
      <c r="C80"/>
      <c r="D80"/>
      <c r="E80" s="51" t="str">
        <f>IF(LEN(B80)&gt;0,COUNTIF(Projects!G:G,Markers!A80),"")</f>
        <v/>
      </c>
    </row>
    <row r="81" spans="1:5" x14ac:dyDescent="0.25">
      <c r="A81" s="16">
        <v>80</v>
      </c>
      <c r="B81"/>
      <c r="C81"/>
      <c r="D81"/>
      <c r="E81" s="51" t="str">
        <f>IF(LEN(B81)&gt;0,COUNTIF(Projects!G:G,Markers!A81),"")</f>
        <v/>
      </c>
    </row>
    <row r="82" spans="1:5" x14ac:dyDescent="0.25">
      <c r="B82"/>
      <c r="C82"/>
      <c r="D82"/>
    </row>
    <row r="83" spans="1:5" x14ac:dyDescent="0.25">
      <c r="B83"/>
      <c r="C83"/>
      <c r="D83"/>
    </row>
    <row r="84" spans="1:5" x14ac:dyDescent="0.25">
      <c r="B84"/>
      <c r="C84"/>
      <c r="D84"/>
    </row>
    <row r="85" spans="1:5" x14ac:dyDescent="0.25">
      <c r="B85"/>
      <c r="C85"/>
      <c r="D85"/>
    </row>
    <row r="86" spans="1:5" x14ac:dyDescent="0.25">
      <c r="B86"/>
      <c r="C86"/>
      <c r="D86"/>
    </row>
    <row r="87" spans="1:5" x14ac:dyDescent="0.25">
      <c r="B87"/>
      <c r="C87"/>
      <c r="D87"/>
    </row>
    <row r="88" spans="1:5" x14ac:dyDescent="0.25">
      <c r="B88"/>
      <c r="C88"/>
      <c r="D88"/>
    </row>
    <row r="89" spans="1:5" x14ac:dyDescent="0.25">
      <c r="B89"/>
      <c r="C89"/>
      <c r="D89"/>
    </row>
    <row r="90" spans="1:5" x14ac:dyDescent="0.25">
      <c r="B90"/>
      <c r="C90"/>
      <c r="D90"/>
    </row>
    <row r="91" spans="1:5" x14ac:dyDescent="0.25">
      <c r="B91"/>
      <c r="C91"/>
      <c r="D91"/>
    </row>
    <row r="92" spans="1:5" x14ac:dyDescent="0.25">
      <c r="B92"/>
      <c r="C92"/>
      <c r="D92"/>
    </row>
    <row r="93" spans="1:5" x14ac:dyDescent="0.25">
      <c r="B93"/>
      <c r="C93"/>
      <c r="D93"/>
    </row>
    <row r="94" spans="1:5" x14ac:dyDescent="0.25">
      <c r="B94"/>
      <c r="C94"/>
      <c r="D94"/>
    </row>
    <row r="95" spans="1:5" x14ac:dyDescent="0.25">
      <c r="B95"/>
      <c r="C95"/>
      <c r="D95"/>
    </row>
    <row r="96" spans="1:5" x14ac:dyDescent="0.25">
      <c r="B96"/>
      <c r="C96"/>
      <c r="D96"/>
    </row>
    <row r="97" spans="2:4" x14ac:dyDescent="0.25">
      <c r="B97"/>
      <c r="C97"/>
      <c r="D97"/>
    </row>
    <row r="98" spans="2:4" x14ac:dyDescent="0.25">
      <c r="B98"/>
      <c r="C98"/>
      <c r="D98"/>
    </row>
    <row r="99" spans="2:4" x14ac:dyDescent="0.25">
      <c r="B99"/>
      <c r="C99"/>
      <c r="D99"/>
    </row>
    <row r="100" spans="2:4" x14ac:dyDescent="0.25">
      <c r="B100"/>
      <c r="C100"/>
      <c r="D100"/>
    </row>
    <row r="101" spans="2:4" x14ac:dyDescent="0.25">
      <c r="B101"/>
      <c r="C101"/>
      <c r="D101"/>
    </row>
    <row r="102" spans="2:4" x14ac:dyDescent="0.25">
      <c r="B102"/>
      <c r="C102"/>
      <c r="D102"/>
    </row>
  </sheetData>
  <mergeCells count="1">
    <mergeCell ref="F2:G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71B13-84F4-4A24-AC4F-42CF81BB58B2}">
  <sheetPr codeName="Sheet6">
    <tabColor theme="9" tint="0.79998168889431442"/>
  </sheetPr>
  <dimension ref="A1:Z103"/>
  <sheetViews>
    <sheetView zoomScale="130" zoomScaleNormal="130" workbookViewId="0">
      <pane xSplit="2" ySplit="2" topLeftCell="C3" activePane="bottomRight" state="frozen"/>
      <selection activeCell="B10" sqref="B10"/>
      <selection pane="topRight" activeCell="B10" sqref="B10"/>
      <selection pane="bottomLeft" activeCell="B10" sqref="B10"/>
      <selection pane="bottomRight" activeCell="B3" sqref="B3"/>
    </sheetView>
  </sheetViews>
  <sheetFormatPr defaultRowHeight="15" x14ac:dyDescent="0.25"/>
  <cols>
    <col min="1" max="1" width="9.140625" style="4"/>
    <col min="2" max="2" width="17.42578125" customWidth="1"/>
    <col min="3" max="3" width="32.5703125" style="4" customWidth="1"/>
    <col min="4" max="4" width="11.85546875" style="4" customWidth="1"/>
    <col min="5" max="5" width="3" customWidth="1"/>
    <col min="6" max="9" width="11.85546875" customWidth="1"/>
    <col min="11" max="13" width="11.85546875" customWidth="1"/>
  </cols>
  <sheetData>
    <row r="1" spans="1:26" x14ac:dyDescent="0.25">
      <c r="B1" s="84" t="s">
        <v>105</v>
      </c>
      <c r="C1" s="47"/>
      <c r="D1" s="44"/>
      <c r="E1" s="44"/>
      <c r="F1" s="44"/>
      <c r="G1" s="44"/>
      <c r="H1" s="44"/>
      <c r="I1" s="44"/>
      <c r="J1" s="47"/>
    </row>
    <row r="2" spans="1:26" ht="30" x14ac:dyDescent="0.25">
      <c r="A2" s="85" t="s">
        <v>106</v>
      </c>
      <c r="B2" s="85" t="s">
        <v>107</v>
      </c>
      <c r="C2" s="85" t="s">
        <v>108</v>
      </c>
      <c r="D2" s="49" t="s">
        <v>109</v>
      </c>
      <c r="E2" s="4"/>
      <c r="F2" s="86" t="s">
        <v>110</v>
      </c>
      <c r="G2" s="87">
        <f>COUNTIF(D:D,"&lt;&gt;"&amp;"")-1</f>
        <v>4</v>
      </c>
      <c r="H2" s="86" t="s">
        <v>111</v>
      </c>
      <c r="I2" s="87">
        <f>SUM(D:D)</f>
        <v>4</v>
      </c>
      <c r="K2" s="4"/>
      <c r="L2" s="4"/>
      <c r="M2" s="4"/>
    </row>
    <row r="3" spans="1:26" x14ac:dyDescent="0.25">
      <c r="A3" s="51">
        <v>1</v>
      </c>
      <c r="C3" t="s">
        <v>112</v>
      </c>
      <c r="D3">
        <v>1</v>
      </c>
      <c r="E3" s="4"/>
    </row>
    <row r="4" spans="1:26" x14ac:dyDescent="0.25">
      <c r="A4" s="51">
        <v>2</v>
      </c>
      <c r="C4" t="s">
        <v>113</v>
      </c>
      <c r="D4">
        <v>1</v>
      </c>
      <c r="E4" s="4"/>
      <c r="F4" s="85" t="str">
        <f>A2</f>
        <v>Keyword #</v>
      </c>
      <c r="G4" s="51">
        <f>A3</f>
        <v>1</v>
      </c>
      <c r="H4" s="51">
        <f>A4</f>
        <v>2</v>
      </c>
      <c r="I4" s="51">
        <f>A5</f>
        <v>3</v>
      </c>
      <c r="J4" s="51">
        <f>A6</f>
        <v>4</v>
      </c>
      <c r="K4" s="56">
        <v>5</v>
      </c>
      <c r="L4" s="56">
        <v>6</v>
      </c>
      <c r="M4" s="56">
        <v>7</v>
      </c>
      <c r="N4" s="56">
        <v>8</v>
      </c>
      <c r="O4" s="42"/>
      <c r="P4" s="42"/>
      <c r="Q4" s="42"/>
      <c r="R4" s="42"/>
      <c r="S4" s="42"/>
      <c r="T4" s="42"/>
      <c r="U4" s="42"/>
      <c r="V4" s="42"/>
      <c r="W4" s="42"/>
      <c r="X4" s="42"/>
      <c r="Y4" s="42"/>
      <c r="Z4" s="42"/>
    </row>
    <row r="5" spans="1:26" ht="30" x14ac:dyDescent="0.25">
      <c r="A5" s="51">
        <v>3</v>
      </c>
      <c r="C5" t="s">
        <v>114</v>
      </c>
      <c r="D5">
        <v>1</v>
      </c>
      <c r="E5" s="4"/>
      <c r="F5" s="85" t="str">
        <f>B2</f>
        <v>Broad areas</v>
      </c>
      <c r="G5" s="42">
        <f>B3</f>
        <v>0</v>
      </c>
      <c r="H5" s="42">
        <f>B4</f>
        <v>0</v>
      </c>
      <c r="I5" s="42">
        <f>B5</f>
        <v>0</v>
      </c>
      <c r="J5" s="42">
        <f>B6</f>
        <v>0</v>
      </c>
      <c r="K5" s="88" t="s">
        <v>115</v>
      </c>
      <c r="L5" s="88" t="s">
        <v>115</v>
      </c>
      <c r="M5" s="88" t="s">
        <v>115</v>
      </c>
      <c r="N5" s="88" t="s">
        <v>115</v>
      </c>
      <c r="O5" s="42"/>
      <c r="P5" s="42"/>
      <c r="Q5" s="42"/>
      <c r="R5" s="42"/>
      <c r="S5" s="42"/>
      <c r="T5" s="42"/>
      <c r="U5" s="42"/>
      <c r="V5" s="42"/>
      <c r="W5" s="42"/>
      <c r="X5" s="42"/>
      <c r="Y5" s="42"/>
      <c r="Z5" s="42"/>
    </row>
    <row r="6" spans="1:26" ht="75" x14ac:dyDescent="0.25">
      <c r="A6" s="51">
        <v>4</v>
      </c>
      <c r="C6" t="s">
        <v>116</v>
      </c>
      <c r="D6">
        <v>1</v>
      </c>
      <c r="E6" s="4"/>
      <c r="F6" s="85" t="str">
        <f>C2</f>
        <v>Subtopics</v>
      </c>
      <c r="G6" s="42" t="str">
        <f>C3</f>
        <v>Keyword 1</v>
      </c>
      <c r="H6" s="42" t="str">
        <f>C4</f>
        <v>Keyword 2</v>
      </c>
      <c r="I6" s="42" t="str">
        <f>C5</f>
        <v>Keyword 3</v>
      </c>
      <c r="J6" s="42" t="str">
        <f>C6</f>
        <v>Keyword 4</v>
      </c>
      <c r="K6" s="59" t="s">
        <v>117</v>
      </c>
      <c r="L6" s="59" t="s">
        <v>118</v>
      </c>
      <c r="M6" s="59" t="s">
        <v>119</v>
      </c>
      <c r="N6" s="59" t="s">
        <v>120</v>
      </c>
      <c r="O6" s="52"/>
      <c r="P6" s="52"/>
      <c r="Q6" s="52"/>
      <c r="R6" s="52"/>
      <c r="S6" s="52"/>
      <c r="T6" s="52"/>
      <c r="U6" s="52"/>
      <c r="V6" s="52"/>
      <c r="W6" s="52"/>
      <c r="X6" s="52"/>
      <c r="Y6" s="52"/>
      <c r="Z6" s="52"/>
    </row>
    <row r="7" spans="1:26" ht="30" x14ac:dyDescent="0.25">
      <c r="A7" s="51">
        <v>5</v>
      </c>
      <c r="C7"/>
      <c r="D7"/>
      <c r="E7" s="4"/>
      <c r="F7" s="49" t="str">
        <f>D2</f>
        <v>Subtopic Weight</v>
      </c>
      <c r="G7" s="42">
        <f>D3</f>
        <v>1</v>
      </c>
      <c r="H7" s="42">
        <f>D4</f>
        <v>1</v>
      </c>
      <c r="I7" s="42">
        <f>D5</f>
        <v>1</v>
      </c>
      <c r="J7" s="42">
        <f>D6</f>
        <v>1</v>
      </c>
      <c r="K7" s="59">
        <v>1</v>
      </c>
      <c r="L7" s="59">
        <v>1</v>
      </c>
      <c r="M7" s="59">
        <v>1</v>
      </c>
      <c r="N7" s="59">
        <v>1</v>
      </c>
      <c r="O7" s="52"/>
      <c r="P7" s="52"/>
      <c r="Q7" s="52"/>
      <c r="R7" s="52"/>
      <c r="S7" s="52"/>
      <c r="T7" s="52"/>
      <c r="U7" s="52"/>
      <c r="V7" s="52"/>
      <c r="W7" s="52"/>
      <c r="X7" s="52"/>
      <c r="Y7" s="52"/>
      <c r="Z7" s="52"/>
    </row>
    <row r="8" spans="1:26" x14ac:dyDescent="0.25">
      <c r="A8" s="51">
        <v>6</v>
      </c>
      <c r="C8"/>
      <c r="D8"/>
      <c r="E8" s="4"/>
      <c r="F8" s="387" t="s">
        <v>53</v>
      </c>
      <c r="G8" s="387"/>
      <c r="H8" s="387"/>
      <c r="I8" s="387"/>
      <c r="K8" s="4"/>
      <c r="L8" s="4"/>
      <c r="M8" s="4"/>
    </row>
    <row r="9" spans="1:26" ht="15" customHeight="1" x14ac:dyDescent="0.25">
      <c r="A9" s="51">
        <v>7</v>
      </c>
      <c r="C9"/>
      <c r="D9"/>
      <c r="E9" s="4"/>
      <c r="F9" s="387"/>
      <c r="G9" s="387"/>
      <c r="H9" s="387"/>
      <c r="I9" s="387"/>
      <c r="K9" s="4"/>
      <c r="L9" s="4"/>
      <c r="M9" s="4"/>
    </row>
    <row r="10" spans="1:26" x14ac:dyDescent="0.25">
      <c r="A10" s="51">
        <v>8</v>
      </c>
      <c r="C10"/>
      <c r="D10"/>
      <c r="E10" s="4"/>
      <c r="F10" s="4"/>
      <c r="G10" s="4"/>
      <c r="H10" s="4"/>
      <c r="I10" s="4"/>
      <c r="K10" s="4"/>
      <c r="L10" s="4"/>
      <c r="M10" s="4"/>
    </row>
    <row r="11" spans="1:26" x14ac:dyDescent="0.25">
      <c r="A11" s="51">
        <v>9</v>
      </c>
      <c r="C11"/>
      <c r="D11"/>
    </row>
    <row r="12" spans="1:26" x14ac:dyDescent="0.25">
      <c r="A12" s="51">
        <v>10</v>
      </c>
      <c r="C12"/>
      <c r="D12"/>
    </row>
    <row r="13" spans="1:26" x14ac:dyDescent="0.25">
      <c r="A13" s="51">
        <v>11</v>
      </c>
      <c r="C13"/>
      <c r="D13"/>
    </row>
    <row r="14" spans="1:26" x14ac:dyDescent="0.25">
      <c r="A14" s="51">
        <v>12</v>
      </c>
      <c r="C14"/>
      <c r="D14"/>
    </row>
    <row r="15" spans="1:26" x14ac:dyDescent="0.25">
      <c r="A15" s="51">
        <v>13</v>
      </c>
      <c r="C15"/>
      <c r="D15"/>
    </row>
    <row r="16" spans="1:26" x14ac:dyDescent="0.25">
      <c r="A16" s="51">
        <v>14</v>
      </c>
      <c r="C16"/>
      <c r="D16"/>
    </row>
    <row r="17" spans="1:4" x14ac:dyDescent="0.25">
      <c r="A17" s="51">
        <v>15</v>
      </c>
      <c r="C17"/>
      <c r="D17"/>
    </row>
    <row r="18" spans="1:4" x14ac:dyDescent="0.25">
      <c r="C18"/>
      <c r="D18"/>
    </row>
    <row r="19" spans="1:4" x14ac:dyDescent="0.25">
      <c r="C19"/>
      <c r="D19"/>
    </row>
    <row r="20" spans="1:4" x14ac:dyDescent="0.25">
      <c r="C20"/>
      <c r="D20"/>
    </row>
    <row r="21" spans="1:4" x14ac:dyDescent="0.25">
      <c r="C21"/>
      <c r="D21"/>
    </row>
    <row r="22" spans="1:4" x14ac:dyDescent="0.25">
      <c r="C22"/>
      <c r="D22"/>
    </row>
    <row r="23" spans="1:4" x14ac:dyDescent="0.25">
      <c r="C23"/>
      <c r="D23"/>
    </row>
    <row r="24" spans="1:4" x14ac:dyDescent="0.25">
      <c r="C24"/>
      <c r="D24"/>
    </row>
    <row r="25" spans="1:4" x14ac:dyDescent="0.25">
      <c r="C25"/>
      <c r="D25"/>
    </row>
    <row r="26" spans="1:4" x14ac:dyDescent="0.25">
      <c r="C26"/>
      <c r="D26"/>
    </row>
    <row r="27" spans="1:4" x14ac:dyDescent="0.25">
      <c r="C27"/>
      <c r="D27"/>
    </row>
    <row r="28" spans="1:4" x14ac:dyDescent="0.25">
      <c r="C28"/>
      <c r="D28"/>
    </row>
    <row r="29" spans="1:4" x14ac:dyDescent="0.25">
      <c r="C29"/>
      <c r="D29"/>
    </row>
    <row r="30" spans="1:4" x14ac:dyDescent="0.25">
      <c r="C30"/>
      <c r="D30"/>
    </row>
    <row r="31" spans="1:4" x14ac:dyDescent="0.25">
      <c r="C31"/>
      <c r="D31"/>
    </row>
    <row r="32" spans="1: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row r="101" spans="3:4" x14ac:dyDescent="0.25">
      <c r="C101"/>
      <c r="D101"/>
    </row>
    <row r="102" spans="3:4" x14ac:dyDescent="0.25">
      <c r="C102"/>
      <c r="D102"/>
    </row>
    <row r="103" spans="3:4" x14ac:dyDescent="0.25">
      <c r="C103"/>
      <c r="D103"/>
    </row>
  </sheetData>
  <mergeCells count="1">
    <mergeCell ref="F8:I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534A9-A0C6-4832-95D1-64D241ED5F8E}">
  <sheetPr codeName="Sheet37">
    <tabColor theme="9" tint="0.79998168889431442"/>
  </sheetPr>
  <dimension ref="A1:N14"/>
  <sheetViews>
    <sheetView zoomScale="145" zoomScaleNormal="145" workbookViewId="0">
      <pane ySplit="2" topLeftCell="A3" activePane="bottomLeft" state="frozen"/>
      <selection activeCell="B10" sqref="B10"/>
      <selection pane="bottomLeft" activeCell="C4" sqref="C4"/>
    </sheetView>
  </sheetViews>
  <sheetFormatPr defaultRowHeight="15" x14ac:dyDescent="0.25"/>
  <cols>
    <col min="1" max="1" width="5.5703125" style="100" customWidth="1"/>
    <col min="2" max="2" width="50.7109375" customWidth="1"/>
    <col min="3" max="3" width="4.28515625" style="47" customWidth="1"/>
    <col min="4" max="6" width="4.28515625" customWidth="1"/>
    <col min="7" max="7" width="24.42578125" bestFit="1" customWidth="1"/>
    <col min="8" max="8" width="1.7109375" customWidth="1"/>
    <col min="9" max="9" width="7.5703125" customWidth="1"/>
    <col min="10" max="13" width="4.28515625" customWidth="1"/>
    <col min="14" max="44" width="5.140625" customWidth="1"/>
  </cols>
  <sheetData>
    <row r="1" spans="1:14" x14ac:dyDescent="0.25">
      <c r="A1" s="69" t="s">
        <v>121</v>
      </c>
      <c r="B1" s="89"/>
      <c r="C1" s="89"/>
      <c r="D1" s="89"/>
      <c r="E1" s="89"/>
      <c r="F1" s="89"/>
      <c r="G1" s="89"/>
      <c r="I1" s="4" t="s">
        <v>122</v>
      </c>
      <c r="J1" s="4">
        <f>Keywords!G7</f>
        <v>1</v>
      </c>
      <c r="K1" s="4">
        <f>Keywords!H7</f>
        <v>1</v>
      </c>
      <c r="L1" s="4">
        <f>Keywords!I7</f>
        <v>1</v>
      </c>
      <c r="M1" s="4">
        <f>Keywords!J7</f>
        <v>1</v>
      </c>
    </row>
    <row r="2" spans="1:14" s="4" customFormat="1" ht="54" x14ac:dyDescent="0.25">
      <c r="A2" s="90" t="s">
        <v>72</v>
      </c>
      <c r="B2" s="16" t="s">
        <v>76</v>
      </c>
      <c r="C2" s="91" t="str">
        <f>Keywords!G6</f>
        <v>Keyword 1</v>
      </c>
      <c r="D2" s="91" t="str">
        <f>Keywords!H6</f>
        <v>Keyword 2</v>
      </c>
      <c r="E2" s="91" t="str">
        <f>Keywords!I6</f>
        <v>Keyword 3</v>
      </c>
      <c r="F2" s="91" t="str">
        <f>Keywords!J6</f>
        <v>Keyword 4</v>
      </c>
      <c r="G2" s="49" t="s">
        <v>123</v>
      </c>
      <c r="H2" s="92"/>
      <c r="I2" s="90" t="str">
        <f>A2</f>
        <v>Project #</v>
      </c>
      <c r="J2" s="93" t="str">
        <f>C2</f>
        <v>Keyword 1</v>
      </c>
      <c r="K2" s="93" t="str">
        <f t="shared" ref="K2:M2" si="0">D2</f>
        <v>Keyword 2</v>
      </c>
      <c r="L2" s="93" t="str">
        <f t="shared" si="0"/>
        <v>Keyword 3</v>
      </c>
      <c r="M2" s="93" t="str">
        <f t="shared" si="0"/>
        <v>Keyword 4</v>
      </c>
      <c r="N2" s="93" t="s">
        <v>124</v>
      </c>
    </row>
    <row r="3" spans="1:14" s="100" customFormat="1" x14ac:dyDescent="0.25">
      <c r="A3" s="94"/>
      <c r="B3" s="95"/>
      <c r="C3" s="96"/>
      <c r="D3" s="96"/>
      <c r="E3" s="96"/>
      <c r="F3" s="96"/>
      <c r="G3" s="97"/>
      <c r="H3" s="98"/>
      <c r="I3" s="97"/>
      <c r="J3" s="99" t="e">
        <f>AVERAGE(J4:J13)</f>
        <v>#DIV/0!</v>
      </c>
      <c r="K3" s="99" t="e">
        <f>AVERAGE(K4:K13)</f>
        <v>#DIV/0!</v>
      </c>
      <c r="L3" s="99" t="e">
        <f>AVERAGE(L4:L13)</f>
        <v>#DIV/0!</v>
      </c>
      <c r="M3" s="99" t="e">
        <f>AVERAGE(M4:M13)</f>
        <v>#DIV/0!</v>
      </c>
      <c r="N3" s="97"/>
    </row>
    <row r="4" spans="1:14" x14ac:dyDescent="0.25">
      <c r="A4" s="60">
        <v>1</v>
      </c>
      <c r="B4" s="101" t="str">
        <f>Projects!B3</f>
        <v>Project 1</v>
      </c>
      <c r="C4" s="11"/>
      <c r="D4" s="11"/>
      <c r="E4" s="11"/>
      <c r="F4" s="11"/>
      <c r="G4" s="102" t="str">
        <f>IF(OR(AND(C4&lt;&gt;"L",C4&lt;&gt;"M",C4&lt;&gt;"H"),AND(D4&lt;&gt;"L",D4&lt;&gt;"M",D4&lt;&gt;"H"),AND(E4&lt;&gt;"L",E4&lt;&gt;"M",E4&lt;&gt;"H"),AND(F4&lt;&gt;"L",F4&lt;&gt;"M",F4&lt;&gt;"H")),"Enter L, M or H in each cell","")</f>
        <v>Enter L, M or H in each cell</v>
      </c>
      <c r="H4" s="103"/>
      <c r="I4" s="104">
        <f>A4</f>
        <v>1</v>
      </c>
      <c r="J4" s="105" t="str">
        <f>IF(C4="L",1/3,IF(C4="M",2/3,IF(LEN(C4)&gt;0,1,"")))</f>
        <v/>
      </c>
      <c r="K4" s="105" t="str">
        <f t="shared" ref="K4:M4" si="1">IF(D4="L",1/3,IF(D4="M",2/3,IF(LEN(D4)&gt;0,1,"")))</f>
        <v/>
      </c>
      <c r="L4" s="105" t="str">
        <f t="shared" si="1"/>
        <v/>
      </c>
      <c r="M4" s="105" t="str">
        <f t="shared" si="1"/>
        <v/>
      </c>
      <c r="N4" s="106" t="str">
        <f>IF(SUM(J4:M4)&gt;0,SUM(J4:M4),"")</f>
        <v/>
      </c>
    </row>
    <row r="5" spans="1:14" x14ac:dyDescent="0.25">
      <c r="A5" s="60">
        <v>2</v>
      </c>
      <c r="B5" s="101" t="str">
        <f>Projects!B4</f>
        <v>Project 2</v>
      </c>
      <c r="C5" s="11"/>
      <c r="D5" s="11"/>
      <c r="E5" s="11"/>
      <c r="F5" s="11"/>
      <c r="G5" s="102" t="str">
        <f t="shared" ref="G5:G13" si="2">IF(OR(AND(C5&lt;&gt;"L",C5&lt;&gt;"M",C5&lt;&gt;"H"),AND(D5&lt;&gt;"L",D5&lt;&gt;"M",D5&lt;&gt;"H"),AND(E5&lt;&gt;"L",E5&lt;&gt;"M",E5&lt;&gt;"H"),AND(F5&lt;&gt;"L",F5&lt;&gt;"M",F5&lt;&gt;"H")),"Enter L, M or H in each cell","")</f>
        <v>Enter L, M or H in each cell</v>
      </c>
      <c r="H5" s="103"/>
      <c r="I5" s="104">
        <f t="shared" ref="I5:I13" si="3">A5</f>
        <v>2</v>
      </c>
      <c r="J5" s="105" t="str">
        <f t="shared" ref="J5:J13" si="4">IF(C5="L",1/3,IF(C5="M",2/3,IF(LEN(C5)&gt;0,1,"")))</f>
        <v/>
      </c>
      <c r="K5" s="105" t="str">
        <f t="shared" ref="K5:K13" si="5">IF(D5="L",1/3,IF(D5="M",2/3,IF(LEN(D5)&gt;0,1,"")))</f>
        <v/>
      </c>
      <c r="L5" s="105" t="str">
        <f t="shared" ref="L5:L13" si="6">IF(E5="L",1/3,IF(E5="M",2/3,IF(LEN(E5)&gt;0,1,"")))</f>
        <v/>
      </c>
      <c r="M5" s="105" t="str">
        <f t="shared" ref="M5:M13" si="7">IF(F5="L",1/3,IF(F5="M",2/3,IF(LEN(F5)&gt;0,1,"")))</f>
        <v/>
      </c>
      <c r="N5" s="106" t="str">
        <f t="shared" ref="N5:N13" si="8">IF(SUM(J5:M5)&gt;0,SUM(J5:M5),"")</f>
        <v/>
      </c>
    </row>
    <row r="6" spans="1:14" x14ac:dyDescent="0.25">
      <c r="A6" s="60">
        <v>3</v>
      </c>
      <c r="B6" s="101" t="str">
        <f>Projects!B5</f>
        <v>Project 3</v>
      </c>
      <c r="C6" s="11"/>
      <c r="D6" s="11"/>
      <c r="E6" s="11"/>
      <c r="F6" s="11"/>
      <c r="G6" s="102" t="str">
        <f t="shared" si="2"/>
        <v>Enter L, M or H in each cell</v>
      </c>
      <c r="H6" s="103"/>
      <c r="I6" s="104">
        <f t="shared" si="3"/>
        <v>3</v>
      </c>
      <c r="J6" s="105" t="str">
        <f t="shared" si="4"/>
        <v/>
      </c>
      <c r="K6" s="105" t="str">
        <f t="shared" si="5"/>
        <v/>
      </c>
      <c r="L6" s="105" t="str">
        <f t="shared" si="6"/>
        <v/>
      </c>
      <c r="M6" s="105" t="str">
        <f t="shared" si="7"/>
        <v/>
      </c>
      <c r="N6" s="106" t="str">
        <f t="shared" si="8"/>
        <v/>
      </c>
    </row>
    <row r="7" spans="1:14" x14ac:dyDescent="0.25">
      <c r="A7" s="60">
        <v>4</v>
      </c>
      <c r="B7" s="101" t="str">
        <f>Projects!B6</f>
        <v>Project 4</v>
      </c>
      <c r="C7" s="11"/>
      <c r="D7" s="11"/>
      <c r="E7" s="11"/>
      <c r="F7" s="11"/>
      <c r="G7" s="102" t="str">
        <f t="shared" si="2"/>
        <v>Enter L, M or H in each cell</v>
      </c>
      <c r="H7" s="103"/>
      <c r="I7" s="104">
        <f t="shared" si="3"/>
        <v>4</v>
      </c>
      <c r="J7" s="105" t="str">
        <f t="shared" si="4"/>
        <v/>
      </c>
      <c r="K7" s="105" t="str">
        <f t="shared" si="5"/>
        <v/>
      </c>
      <c r="L7" s="105" t="str">
        <f t="shared" si="6"/>
        <v/>
      </c>
      <c r="M7" s="105" t="str">
        <f t="shared" si="7"/>
        <v/>
      </c>
      <c r="N7" s="106" t="str">
        <f t="shared" si="8"/>
        <v/>
      </c>
    </row>
    <row r="8" spans="1:14" x14ac:dyDescent="0.25">
      <c r="A8" s="60">
        <v>5</v>
      </c>
      <c r="B8" s="101" t="str">
        <f>Projects!B7</f>
        <v>Project 5</v>
      </c>
      <c r="C8" s="11"/>
      <c r="D8" s="11"/>
      <c r="E8" s="11"/>
      <c r="F8" s="11"/>
      <c r="G8" s="102" t="str">
        <f t="shared" si="2"/>
        <v>Enter L, M or H in each cell</v>
      </c>
      <c r="H8" s="103"/>
      <c r="I8" s="104">
        <f t="shared" si="3"/>
        <v>5</v>
      </c>
      <c r="J8" s="105" t="str">
        <f t="shared" si="4"/>
        <v/>
      </c>
      <c r="K8" s="105" t="str">
        <f t="shared" si="5"/>
        <v/>
      </c>
      <c r="L8" s="105" t="str">
        <f t="shared" si="6"/>
        <v/>
      </c>
      <c r="M8" s="105" t="str">
        <f t="shared" si="7"/>
        <v/>
      </c>
      <c r="N8" s="106" t="str">
        <f t="shared" si="8"/>
        <v/>
      </c>
    </row>
    <row r="9" spans="1:14" x14ac:dyDescent="0.25">
      <c r="A9" s="60">
        <v>6</v>
      </c>
      <c r="B9" s="101" t="str">
        <f>Projects!B8</f>
        <v>Project 6</v>
      </c>
      <c r="C9" s="11"/>
      <c r="D9" s="11"/>
      <c r="E9" s="11"/>
      <c r="F9" s="11"/>
      <c r="G9" s="102" t="str">
        <f t="shared" si="2"/>
        <v>Enter L, M or H in each cell</v>
      </c>
      <c r="H9" s="103"/>
      <c r="I9" s="104">
        <f t="shared" si="3"/>
        <v>6</v>
      </c>
      <c r="J9" s="105" t="str">
        <f t="shared" si="4"/>
        <v/>
      </c>
      <c r="K9" s="105" t="str">
        <f t="shared" si="5"/>
        <v/>
      </c>
      <c r="L9" s="105" t="str">
        <f t="shared" si="6"/>
        <v/>
      </c>
      <c r="M9" s="105" t="str">
        <f t="shared" si="7"/>
        <v/>
      </c>
      <c r="N9" s="106" t="str">
        <f t="shared" si="8"/>
        <v/>
      </c>
    </row>
    <row r="10" spans="1:14" x14ac:dyDescent="0.25">
      <c r="A10" s="60">
        <v>7</v>
      </c>
      <c r="B10" s="101" t="str">
        <f>Projects!B9</f>
        <v>Project 7</v>
      </c>
      <c r="C10" s="11"/>
      <c r="D10" s="11"/>
      <c r="E10" s="11"/>
      <c r="F10" s="11"/>
      <c r="G10" s="102" t="str">
        <f t="shared" si="2"/>
        <v>Enter L, M or H in each cell</v>
      </c>
      <c r="H10" s="103"/>
      <c r="I10" s="104">
        <f t="shared" si="3"/>
        <v>7</v>
      </c>
      <c r="J10" s="105" t="str">
        <f t="shared" si="4"/>
        <v/>
      </c>
      <c r="K10" s="105" t="str">
        <f t="shared" si="5"/>
        <v/>
      </c>
      <c r="L10" s="105" t="str">
        <f t="shared" si="6"/>
        <v/>
      </c>
      <c r="M10" s="105" t="str">
        <f t="shared" si="7"/>
        <v/>
      </c>
      <c r="N10" s="106" t="str">
        <f t="shared" si="8"/>
        <v/>
      </c>
    </row>
    <row r="11" spans="1:14" x14ac:dyDescent="0.25">
      <c r="A11" s="60">
        <v>8</v>
      </c>
      <c r="B11" s="101" t="str">
        <f>Projects!B10</f>
        <v>Project 8</v>
      </c>
      <c r="C11" s="11"/>
      <c r="D11" s="11"/>
      <c r="E11" s="11"/>
      <c r="F11" s="11"/>
      <c r="G11" s="102" t="str">
        <f t="shared" si="2"/>
        <v>Enter L, M or H in each cell</v>
      </c>
      <c r="H11" s="103"/>
      <c r="I11" s="104">
        <f t="shared" si="3"/>
        <v>8</v>
      </c>
      <c r="J11" s="105" t="str">
        <f t="shared" si="4"/>
        <v/>
      </c>
      <c r="K11" s="105" t="str">
        <f t="shared" si="5"/>
        <v/>
      </c>
      <c r="L11" s="105" t="str">
        <f t="shared" si="6"/>
        <v/>
      </c>
      <c r="M11" s="105" t="str">
        <f t="shared" si="7"/>
        <v/>
      </c>
      <c r="N11" s="106" t="str">
        <f t="shared" si="8"/>
        <v/>
      </c>
    </row>
    <row r="12" spans="1:14" x14ac:dyDescent="0.25">
      <c r="A12" s="60">
        <v>9</v>
      </c>
      <c r="B12" s="101" t="str">
        <f>Projects!B11</f>
        <v>Project 9</v>
      </c>
      <c r="C12" s="11"/>
      <c r="D12" s="11"/>
      <c r="E12" s="11"/>
      <c r="F12" s="11"/>
      <c r="G12" s="102" t="str">
        <f t="shared" si="2"/>
        <v>Enter L, M or H in each cell</v>
      </c>
      <c r="H12" s="103"/>
      <c r="I12" s="104">
        <f t="shared" si="3"/>
        <v>9</v>
      </c>
      <c r="J12" s="105" t="str">
        <f t="shared" si="4"/>
        <v/>
      </c>
      <c r="K12" s="105" t="str">
        <f t="shared" si="5"/>
        <v/>
      </c>
      <c r="L12" s="105" t="str">
        <f t="shared" si="6"/>
        <v/>
      </c>
      <c r="M12" s="105" t="str">
        <f t="shared" si="7"/>
        <v/>
      </c>
      <c r="N12" s="106" t="str">
        <f t="shared" si="8"/>
        <v/>
      </c>
    </row>
    <row r="13" spans="1:14" x14ac:dyDescent="0.25">
      <c r="A13" s="60">
        <v>10</v>
      </c>
      <c r="B13" s="101" t="str">
        <f>Projects!B12</f>
        <v>Project 10</v>
      </c>
      <c r="C13" s="11"/>
      <c r="D13" s="11"/>
      <c r="E13" s="11"/>
      <c r="F13" s="11"/>
      <c r="G13" s="102" t="str">
        <f t="shared" si="2"/>
        <v>Enter L, M or H in each cell</v>
      </c>
      <c r="H13" s="103"/>
      <c r="I13" s="104">
        <f t="shared" si="3"/>
        <v>10</v>
      </c>
      <c r="J13" s="105" t="str">
        <f t="shared" si="4"/>
        <v/>
      </c>
      <c r="K13" s="105" t="str">
        <f t="shared" si="5"/>
        <v/>
      </c>
      <c r="L13" s="105" t="str">
        <f t="shared" si="6"/>
        <v/>
      </c>
      <c r="M13" s="105" t="str">
        <f t="shared" si="7"/>
        <v/>
      </c>
      <c r="N13" s="106" t="str">
        <f t="shared" si="8"/>
        <v/>
      </c>
    </row>
    <row r="14" spans="1:14" x14ac:dyDescent="0.25">
      <c r="B14" s="5" t="s">
        <v>125</v>
      </c>
      <c r="C14" s="59">
        <f>COUNTIF(C4:C13,"&gt;"&amp;"a")</f>
        <v>0</v>
      </c>
      <c r="D14" s="59">
        <f>COUNTIF(D4:D13,"&gt;"&amp;"a")</f>
        <v>0</v>
      </c>
      <c r="E14" s="59">
        <f>COUNTIF(E4:E13,"&gt;"&amp;"a")</f>
        <v>0</v>
      </c>
      <c r="F14" s="59">
        <f>COUNTIF(F4:F13,"&gt;"&amp;"a")</f>
        <v>0</v>
      </c>
    </row>
  </sheetData>
  <conditionalFormatting sqref="J3:M3">
    <cfRule type="dataBar" priority="5">
      <dataBar>
        <cfvo type="min"/>
        <cfvo type="max"/>
        <color rgb="FF63C384"/>
      </dataBar>
      <extLst>
        <ext xmlns:x14="http://schemas.microsoft.com/office/spreadsheetml/2009/9/main" uri="{B025F937-C7B1-47D3-B67F-A62EFF666E3E}">
          <x14:id>{8169769D-A34F-461B-B562-3D9812CDF34B}</x14:id>
        </ext>
      </extLst>
    </cfRule>
  </conditionalFormatting>
  <conditionalFormatting sqref="N4:N13">
    <cfRule type="colorScale" priority="8">
      <colorScale>
        <cfvo type="min"/>
        <cfvo type="percentile" val="50"/>
        <cfvo type="max"/>
        <color rgb="FFF8696B"/>
        <color rgb="FFFFEB84"/>
        <color rgb="FF63BE7B"/>
      </colorScale>
    </cfRule>
  </conditionalFormatting>
  <conditionalFormatting sqref="J4:M13">
    <cfRule type="colorScale" priority="10">
      <colorScale>
        <cfvo type="min"/>
        <cfvo type="percentile" val="50"/>
        <cfvo type="max"/>
        <color rgb="FFF8696B"/>
        <color rgb="FFFCFCFF"/>
        <color rgb="FF5A8AC6"/>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8169769D-A34F-461B-B562-3D9812CDF34B}">
            <x14:dataBar minLength="0" maxLength="100" border="1" negativeBarBorderColorSameAsPositive="0">
              <x14:cfvo type="autoMin"/>
              <x14:cfvo type="autoMax"/>
              <x14:borderColor rgb="FF63C384"/>
              <x14:negativeFillColor rgb="FFFF0000"/>
              <x14:negativeBorderColor rgb="FFFF0000"/>
              <x14:axisColor rgb="FF000000"/>
            </x14:dataBar>
          </x14:cfRule>
          <xm:sqref>J3:M3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E59C5-818A-4103-A73A-E73715FFCCE0}">
  <sheetPr codeName="Sheet7">
    <tabColor theme="9" tint="0.79998168889431442"/>
  </sheetPr>
  <dimension ref="A1:N11"/>
  <sheetViews>
    <sheetView zoomScaleNormal="100" workbookViewId="0">
      <pane ySplit="3" topLeftCell="A4" activePane="bottomLeft" state="frozen"/>
      <selection activeCell="B10" sqref="B10"/>
      <selection pane="bottomLeft" activeCell="C4" sqref="C4"/>
    </sheetView>
  </sheetViews>
  <sheetFormatPr defaultRowHeight="15" x14ac:dyDescent="0.25"/>
  <cols>
    <col min="1" max="1" width="5.42578125" style="100" customWidth="1"/>
    <col min="2" max="2" width="28.28515625" bestFit="1" customWidth="1"/>
    <col min="3" max="3" width="4.28515625" style="47" customWidth="1"/>
    <col min="4" max="6" width="4.28515625" customWidth="1"/>
    <col min="7" max="7" width="24.42578125" bestFit="1" customWidth="1"/>
    <col min="8" max="8" width="1.7109375" customWidth="1"/>
    <col min="9" max="9" width="6.7109375" customWidth="1"/>
    <col min="10" max="13" width="4.28515625" customWidth="1"/>
  </cols>
  <sheetData>
    <row r="1" spans="1:14" x14ac:dyDescent="0.25">
      <c r="A1" s="107" t="s">
        <v>126</v>
      </c>
      <c r="D1" s="47"/>
      <c r="E1" s="47"/>
      <c r="F1" s="47"/>
      <c r="H1" s="108"/>
      <c r="I1" s="107" t="s">
        <v>127</v>
      </c>
    </row>
    <row r="2" spans="1:14" ht="54" x14ac:dyDescent="0.25">
      <c r="A2" s="90" t="s">
        <v>94</v>
      </c>
      <c r="B2" s="11" t="s">
        <v>95</v>
      </c>
      <c r="C2" s="91" t="str">
        <f>Keywords!G6</f>
        <v>Keyword 1</v>
      </c>
      <c r="D2" s="91" t="str">
        <f>Keywords!H6</f>
        <v>Keyword 2</v>
      </c>
      <c r="E2" s="91" t="str">
        <f>Keywords!I6</f>
        <v>Keyword 3</v>
      </c>
      <c r="F2" s="91" t="str">
        <f>Keywords!J6</f>
        <v>Keyword 4</v>
      </c>
      <c r="G2" s="44" t="s">
        <v>123</v>
      </c>
      <c r="H2" s="108"/>
      <c r="I2" s="90" t="s">
        <v>94</v>
      </c>
      <c r="J2" s="93" t="str">
        <f>C2</f>
        <v>Keyword 1</v>
      </c>
      <c r="K2" s="93" t="str">
        <f t="shared" ref="K2:M2" si="0">D2</f>
        <v>Keyword 2</v>
      </c>
      <c r="L2" s="93" t="str">
        <f t="shared" si="0"/>
        <v>Keyword 3</v>
      </c>
      <c r="M2" s="93" t="str">
        <f t="shared" si="0"/>
        <v>Keyword 4</v>
      </c>
      <c r="N2" t="s">
        <v>124</v>
      </c>
    </row>
    <row r="3" spans="1:14" x14ac:dyDescent="0.25">
      <c r="A3" s="94"/>
      <c r="B3" s="29" t="s">
        <v>128</v>
      </c>
      <c r="C3" s="59">
        <f>ROUND(('Project Keywords'!C14*'Competition Parameters'!$C$3-COUNTIF('Marker Expertise'!C4:C10,"&gt;"&amp;"@")*'Competition Parameters'!$C$4)/'Competition Parameters'!$C$4+0.5,0)</f>
        <v>1</v>
      </c>
      <c r="D3" s="59">
        <f>ROUND(('Project Keywords'!D14*'Competition Parameters'!$C$3-COUNTIF('Marker Expertise'!D4:D10,"&gt;"&amp;"@")*'Competition Parameters'!$C$4)/'Competition Parameters'!$C$4+0.5,0)</f>
        <v>1</v>
      </c>
      <c r="E3" s="59">
        <f>ROUND(('Project Keywords'!E14*'Competition Parameters'!$C$3-COUNTIF('Marker Expertise'!E4:E10,"&gt;"&amp;"@")*'Competition Parameters'!$C$4)/'Competition Parameters'!$C$4+0.5,0)</f>
        <v>1</v>
      </c>
      <c r="F3" s="59">
        <f>ROUND(('Project Keywords'!F14*'Competition Parameters'!$C$3-COUNTIF('Marker Expertise'!F4:F10,"&gt;"&amp;"@")*'Competition Parameters'!$C$4)/'Competition Parameters'!$C$4+0.5,0)</f>
        <v>1</v>
      </c>
      <c r="G3" s="109"/>
      <c r="H3" s="108"/>
      <c r="I3" s="100" t="s">
        <v>129</v>
      </c>
      <c r="J3" s="99" t="str">
        <f>IF(COUNT(J4:J10)&gt;0,AVERAGE(J4:J10),"")</f>
        <v/>
      </c>
      <c r="K3" s="99" t="str">
        <f>IF(COUNT(K4:K10)&gt;0,AVERAGE(K4:K10),"")</f>
        <v/>
      </c>
      <c r="L3" s="99" t="str">
        <f>IF(COUNT(L4:L10)&gt;0,AVERAGE(L4:L10),"")</f>
        <v/>
      </c>
      <c r="M3" s="99" t="str">
        <f>IF(COUNT(M4:M10)&gt;0,AVERAGE(M4:M10),"")</f>
        <v/>
      </c>
      <c r="N3" s="110" t="str">
        <f>IF(COUNT(J3:M3)&gt;0,AVERAGE(J3:M3),"")</f>
        <v/>
      </c>
    </row>
    <row r="4" spans="1:14" x14ac:dyDescent="0.25">
      <c r="A4" s="60">
        <f>IF(Markers!B2&gt;0,Markers!A2,"")</f>
        <v>1</v>
      </c>
      <c r="B4" s="101" t="str">
        <f>IF(LEN(Markers!B2)&gt;0,Markers!B2,"")</f>
        <v>Marker 1</v>
      </c>
      <c r="C4" s="11"/>
      <c r="D4" s="11"/>
      <c r="E4" s="11"/>
      <c r="F4" s="11"/>
      <c r="G4" s="102" t="str">
        <f>IF(OR(AND(C4&lt;&gt;"L",C4&lt;&gt;"M",C4&lt;&gt;"H"),AND(D4&lt;&gt;"L",D4&lt;&gt;"M",D4&lt;&gt;"H"),AND(E4&lt;&gt;"L",E4&lt;&gt;"M",E4&lt;&gt;"H"),AND(F4&lt;&gt;"L",F4&lt;&gt;"M",F4&lt;&gt;"H")),"Enter L, M or H in each cell","")</f>
        <v>Enter L, M or H in each cell</v>
      </c>
      <c r="H4" s="108"/>
      <c r="I4" s="111">
        <f>A4</f>
        <v>1</v>
      </c>
      <c r="J4" s="105" t="str">
        <f>IF(C4="","",IF(C4="L",1/3,IF(C4="M",2/3,1)))</f>
        <v/>
      </c>
      <c r="K4" s="105" t="str">
        <f t="shared" ref="K4:M4" si="1">IF(D4="","",IF(D4="L",1/3,IF(D4="M",2/3,1)))</f>
        <v/>
      </c>
      <c r="L4" s="105" t="str">
        <f t="shared" si="1"/>
        <v/>
      </c>
      <c r="M4" s="105" t="str">
        <f t="shared" si="1"/>
        <v/>
      </c>
      <c r="N4" s="110" t="str">
        <f>IF(COUNT(J4:M4)&gt;0,AVERAGE(J4:M4),"")</f>
        <v/>
      </c>
    </row>
    <row r="5" spans="1:14" x14ac:dyDescent="0.25">
      <c r="A5" s="60">
        <f>IF(Markers!B3&gt;0,Markers!A3,"")</f>
        <v>2</v>
      </c>
      <c r="B5" s="101" t="str">
        <f>IF(LEN(Markers!B3)&gt;0,Markers!B3,"")</f>
        <v>Marker 2</v>
      </c>
      <c r="C5" s="11"/>
      <c r="D5" s="11"/>
      <c r="E5" s="11"/>
      <c r="F5" s="11"/>
      <c r="G5" s="102" t="str">
        <f t="shared" ref="G5:G10" si="2">IF(OR(AND(C5&lt;&gt;"L",C5&lt;&gt;"M",C5&lt;&gt;"H"),AND(D5&lt;&gt;"L",D5&lt;&gt;"M",D5&lt;&gt;"H"),AND(E5&lt;&gt;"L",E5&lt;&gt;"M",E5&lt;&gt;"H"),AND(F5&lt;&gt;"L",F5&lt;&gt;"M",F5&lt;&gt;"H")),"Enter L, M or H in each cell","")</f>
        <v>Enter L, M or H in each cell</v>
      </c>
      <c r="H5" s="108"/>
      <c r="I5" s="111">
        <f t="shared" ref="I5:I10" si="3">A5</f>
        <v>2</v>
      </c>
      <c r="J5" s="105" t="str">
        <f t="shared" ref="J5:J10" si="4">IF(C5="","",IF(C5="L",1/3,IF(C5="M",2/3,1)))</f>
        <v/>
      </c>
      <c r="K5" s="105" t="str">
        <f t="shared" ref="K5:K10" si="5">IF(D5="","",IF(D5="L",1/3,IF(D5="M",2/3,1)))</f>
        <v/>
      </c>
      <c r="L5" s="105" t="str">
        <f t="shared" ref="L5:L10" si="6">IF(E5="","",IF(E5="L",1/3,IF(E5="M",2/3,1)))</f>
        <v/>
      </c>
      <c r="M5" s="105" t="str">
        <f t="shared" ref="M5:M10" si="7">IF(F5="","",IF(F5="L",1/3,IF(F5="M",2/3,1)))</f>
        <v/>
      </c>
      <c r="N5" s="110" t="str">
        <f t="shared" ref="N5:N10" si="8">IF(COUNT(J5:M5)&gt;0,AVERAGE(J5:M5),"")</f>
        <v/>
      </c>
    </row>
    <row r="6" spans="1:14" x14ac:dyDescent="0.25">
      <c r="A6" s="60">
        <f>IF(Markers!B4&gt;0,Markers!A4,"")</f>
        <v>3</v>
      </c>
      <c r="B6" s="101" t="str">
        <f>IF(LEN(Markers!B4)&gt;0,Markers!B4,"")</f>
        <v>Marker 3</v>
      </c>
      <c r="C6" s="11"/>
      <c r="D6" s="11"/>
      <c r="E6" s="11"/>
      <c r="F6" s="11"/>
      <c r="G6" s="102" t="str">
        <f t="shared" si="2"/>
        <v>Enter L, M or H in each cell</v>
      </c>
      <c r="H6" s="108"/>
      <c r="I6" s="111">
        <f t="shared" si="3"/>
        <v>3</v>
      </c>
      <c r="J6" s="105" t="str">
        <f t="shared" si="4"/>
        <v/>
      </c>
      <c r="K6" s="105" t="str">
        <f t="shared" si="5"/>
        <v/>
      </c>
      <c r="L6" s="105" t="str">
        <f t="shared" si="6"/>
        <v/>
      </c>
      <c r="M6" s="105" t="str">
        <f t="shared" si="7"/>
        <v/>
      </c>
      <c r="N6" s="110" t="str">
        <f t="shared" si="8"/>
        <v/>
      </c>
    </row>
    <row r="7" spans="1:14" x14ac:dyDescent="0.25">
      <c r="A7" s="60">
        <f>IF(Markers!B5&gt;0,Markers!A5,"")</f>
        <v>4</v>
      </c>
      <c r="B7" s="101" t="str">
        <f>IF(LEN(Markers!B5)&gt;0,Markers!B5,"")</f>
        <v>Marker 4</v>
      </c>
      <c r="C7" s="11"/>
      <c r="D7" s="11"/>
      <c r="E7" s="11"/>
      <c r="F7" s="11"/>
      <c r="G7" s="102" t="str">
        <f t="shared" si="2"/>
        <v>Enter L, M or H in each cell</v>
      </c>
      <c r="H7" s="108"/>
      <c r="I7" s="111">
        <f t="shared" si="3"/>
        <v>4</v>
      </c>
      <c r="J7" s="105" t="str">
        <f t="shared" si="4"/>
        <v/>
      </c>
      <c r="K7" s="105" t="str">
        <f t="shared" si="5"/>
        <v/>
      </c>
      <c r="L7" s="105" t="str">
        <f t="shared" si="6"/>
        <v/>
      </c>
      <c r="M7" s="105" t="str">
        <f t="shared" si="7"/>
        <v/>
      </c>
      <c r="N7" s="110" t="str">
        <f t="shared" si="8"/>
        <v/>
      </c>
    </row>
    <row r="8" spans="1:14" x14ac:dyDescent="0.25">
      <c r="A8" s="60">
        <f>IF(Markers!B6&gt;0,Markers!A6,"")</f>
        <v>5</v>
      </c>
      <c r="B8" s="101" t="str">
        <f>IF(LEN(Markers!B6)&gt;0,Markers!B6,"")</f>
        <v>Marker 5</v>
      </c>
      <c r="C8" s="11"/>
      <c r="D8" s="11"/>
      <c r="E8" s="11"/>
      <c r="F8" s="11"/>
      <c r="G8" s="102" t="str">
        <f t="shared" si="2"/>
        <v>Enter L, M or H in each cell</v>
      </c>
      <c r="H8" s="108"/>
      <c r="I8" s="111">
        <f t="shared" si="3"/>
        <v>5</v>
      </c>
      <c r="J8" s="105" t="str">
        <f t="shared" si="4"/>
        <v/>
      </c>
      <c r="K8" s="105" t="str">
        <f t="shared" si="5"/>
        <v/>
      </c>
      <c r="L8" s="105" t="str">
        <f t="shared" si="6"/>
        <v/>
      </c>
      <c r="M8" s="105" t="str">
        <f t="shared" si="7"/>
        <v/>
      </c>
      <c r="N8" s="110" t="str">
        <f t="shared" si="8"/>
        <v/>
      </c>
    </row>
    <row r="9" spans="1:14" x14ac:dyDescent="0.25">
      <c r="A9" s="60">
        <f>IF(Markers!B7&gt;0,Markers!A7,"")</f>
        <v>6</v>
      </c>
      <c r="B9" s="101" t="str">
        <f>IF(LEN(Markers!B7)&gt;0,Markers!B7,"")</f>
        <v>Marker 6</v>
      </c>
      <c r="C9" s="11"/>
      <c r="D9" s="11"/>
      <c r="E9" s="11"/>
      <c r="F9" s="11"/>
      <c r="G9" s="102" t="str">
        <f t="shared" si="2"/>
        <v>Enter L, M or H in each cell</v>
      </c>
      <c r="H9" s="108"/>
      <c r="I9" s="111">
        <f t="shared" si="3"/>
        <v>6</v>
      </c>
      <c r="J9" s="105" t="str">
        <f t="shared" si="4"/>
        <v/>
      </c>
      <c r="K9" s="105" t="str">
        <f t="shared" si="5"/>
        <v/>
      </c>
      <c r="L9" s="105" t="str">
        <f t="shared" si="6"/>
        <v/>
      </c>
      <c r="M9" s="105" t="str">
        <f t="shared" si="7"/>
        <v/>
      </c>
      <c r="N9" s="110" t="str">
        <f t="shared" si="8"/>
        <v/>
      </c>
    </row>
    <row r="10" spans="1:14" x14ac:dyDescent="0.25">
      <c r="A10" s="60">
        <f>IF(Markers!B8&gt;0,Markers!A8,"")</f>
        <v>7</v>
      </c>
      <c r="B10" s="101" t="str">
        <f>IF(LEN(Markers!B8)&gt;0,Markers!B8,"")</f>
        <v>Marker 7</v>
      </c>
      <c r="C10" s="11"/>
      <c r="D10" s="11"/>
      <c r="E10" s="11"/>
      <c r="F10" s="11"/>
      <c r="G10" s="102" t="str">
        <f t="shared" si="2"/>
        <v>Enter L, M or H in each cell</v>
      </c>
      <c r="H10" s="108"/>
      <c r="I10" s="111">
        <f t="shared" si="3"/>
        <v>7</v>
      </c>
      <c r="J10" s="105" t="str">
        <f t="shared" si="4"/>
        <v/>
      </c>
      <c r="K10" s="105" t="str">
        <f t="shared" si="5"/>
        <v/>
      </c>
      <c r="L10" s="105" t="str">
        <f t="shared" si="6"/>
        <v/>
      </c>
      <c r="M10" s="105" t="str">
        <f t="shared" si="7"/>
        <v/>
      </c>
      <c r="N10" s="110" t="str">
        <f t="shared" si="8"/>
        <v/>
      </c>
    </row>
    <row r="11" spans="1:14" x14ac:dyDescent="0.25">
      <c r="D11" s="47"/>
    </row>
  </sheetData>
  <conditionalFormatting sqref="J3:M3">
    <cfRule type="dataBar" priority="11">
      <dataBar>
        <cfvo type="min"/>
        <cfvo type="max"/>
        <color rgb="FF63C384"/>
      </dataBar>
      <extLst>
        <ext xmlns:x14="http://schemas.microsoft.com/office/spreadsheetml/2009/9/main" uri="{B025F937-C7B1-47D3-B67F-A62EFF666E3E}">
          <x14:id>{1467EE13-A705-415C-9865-87FC4F100EC4}</x14:id>
        </ext>
      </extLst>
    </cfRule>
  </conditionalFormatting>
  <conditionalFormatting sqref="J4:M10">
    <cfRule type="colorScale" priority="14">
      <colorScale>
        <cfvo type="min"/>
        <cfvo type="percentile" val="50"/>
        <cfvo type="max"/>
        <color rgb="FFF8696B"/>
        <color rgb="FFFCFCFF"/>
        <color rgb="FF5A8AC6"/>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1467EE13-A705-415C-9865-87FC4F100EC4}">
            <x14:dataBar minLength="0" maxLength="100" border="1" negativeBarBorderColorSameAsPositive="0">
              <x14:cfvo type="autoMin"/>
              <x14:cfvo type="autoMax"/>
              <x14:borderColor rgb="FF63C384"/>
              <x14:negativeFillColor rgb="FFFF0000"/>
              <x14:negativeBorderColor rgb="FFFF0000"/>
              <x14:axisColor rgb="FF000000"/>
            </x14:dataBar>
          </x14:cfRule>
          <xm:sqref>J3:M3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F6A9A-A9A9-4C95-BE3E-2A8A35E2616F}">
  <sheetPr codeName="Sheet13">
    <tabColor theme="9" tint="0.79998168889431442"/>
  </sheetPr>
  <dimension ref="A1:K80"/>
  <sheetViews>
    <sheetView zoomScaleNormal="100" workbookViewId="0">
      <pane xSplit="3" ySplit="3" topLeftCell="D4" activePane="bottomRight" state="frozen"/>
      <selection activeCell="B10" sqref="B10"/>
      <selection pane="topRight" activeCell="B10" sqref="B10"/>
      <selection pane="bottomLeft" activeCell="B10" sqref="B10"/>
      <selection pane="bottomRight" activeCell="D4" sqref="D4"/>
    </sheetView>
  </sheetViews>
  <sheetFormatPr defaultRowHeight="15" x14ac:dyDescent="0.25"/>
  <cols>
    <col min="1" max="1" width="9.140625" style="4"/>
    <col min="3" max="3" width="23.85546875" bestFit="1" customWidth="1"/>
    <col min="4" max="10" width="8.7109375" bestFit="1" customWidth="1"/>
    <col min="11" max="493" width="9.140625" customWidth="1"/>
  </cols>
  <sheetData>
    <row r="1" spans="1:11" x14ac:dyDescent="0.25">
      <c r="A1" s="16"/>
      <c r="B1" s="11"/>
      <c r="C1" s="112" t="s">
        <v>94</v>
      </c>
      <c r="D1" s="60">
        <v>1</v>
      </c>
      <c r="E1" s="60">
        <v>2</v>
      </c>
      <c r="F1" s="60">
        <v>3</v>
      </c>
      <c r="G1" s="60">
        <v>4</v>
      </c>
      <c r="H1" s="60">
        <v>5</v>
      </c>
      <c r="I1" s="60">
        <v>6</v>
      </c>
      <c r="J1" s="60">
        <v>7</v>
      </c>
      <c r="K1" s="113"/>
    </row>
    <row r="2" spans="1:11" x14ac:dyDescent="0.25">
      <c r="A2" s="16"/>
      <c r="B2" s="11"/>
      <c r="C2" s="114" t="s">
        <v>130</v>
      </c>
      <c r="D2" s="115">
        <f t="shared" ref="D2:J2" si="0">IF(COUNTIF(D4:D13,"&gt;"&amp;0),AVERAGE(D4:D13),"")</f>
        <v>0.37037037037037035</v>
      </c>
      <c r="E2" s="115">
        <f t="shared" si="0"/>
        <v>0.44444444444444442</v>
      </c>
      <c r="F2" s="115">
        <f t="shared" si="0"/>
        <v>0.37037037037037041</v>
      </c>
      <c r="G2" s="115">
        <f t="shared" si="0"/>
        <v>0.51851851851851849</v>
      </c>
      <c r="H2" s="115">
        <f t="shared" si="0"/>
        <v>0.48148148148148145</v>
      </c>
      <c r="I2" s="115">
        <f t="shared" si="0"/>
        <v>0.37037037037037035</v>
      </c>
      <c r="J2" s="115">
        <f t="shared" si="0"/>
        <v>0.40740740740740744</v>
      </c>
      <c r="K2" s="116"/>
    </row>
    <row r="3" spans="1:11" ht="49.5" customHeight="1" x14ac:dyDescent="0.25">
      <c r="A3" s="48" t="s">
        <v>72</v>
      </c>
      <c r="B3" s="11" t="s">
        <v>130</v>
      </c>
      <c r="C3" s="117" t="s">
        <v>131</v>
      </c>
      <c r="D3" s="118" t="str">
        <f>VLOOKUP(D1,Markers!$A:$B,2,FALSE)</f>
        <v>Marker 1</v>
      </c>
      <c r="E3" s="118" t="str">
        <f>VLOOKUP(E1,Markers!$A:$B,2,FALSE)</f>
        <v>Marker 2</v>
      </c>
      <c r="F3" s="118" t="str">
        <f>VLOOKUP(F1,Markers!$A:$B,2,FALSE)</f>
        <v>Marker 3</v>
      </c>
      <c r="G3" s="118" t="str">
        <f>VLOOKUP(G1,Markers!$A:$B,2,FALSE)</f>
        <v>Marker 4</v>
      </c>
      <c r="H3" s="118" t="str">
        <f>VLOOKUP(H1,Markers!$A:$B,2,FALSE)</f>
        <v>Marker 5</v>
      </c>
      <c r="I3" s="118" t="str">
        <f>VLOOKUP(I1,Markers!$A:$B,2,FALSE)</f>
        <v>Marker 6</v>
      </c>
      <c r="J3" s="118" t="str">
        <f>VLOOKUP(J1,Markers!$A:$B,2,FALSE)</f>
        <v>Marker 7</v>
      </c>
      <c r="K3" s="116"/>
    </row>
    <row r="4" spans="1:11" x14ac:dyDescent="0.25">
      <c r="A4" s="51">
        <v>1</v>
      </c>
      <c r="B4" s="115">
        <f>IF(COUNTIF(D4:J4,"&gt;"&amp;0),AVERAGE(D4:J4),"")</f>
        <v>0.5</v>
      </c>
      <c r="C4" s="119" t="str">
        <f>VLOOKUP(A4,Projects!A:B,2,FALSE)</f>
        <v>Project 1</v>
      </c>
      <c r="D4" s="461" t="s">
        <v>136</v>
      </c>
      <c r="E4" s="120">
        <v>0.33333333333333331</v>
      </c>
      <c r="F4" s="120">
        <v>0.66666666666666663</v>
      </c>
      <c r="G4" s="120">
        <v>0.33333333333333331</v>
      </c>
      <c r="H4" s="120">
        <v>0.33333333333333331</v>
      </c>
      <c r="I4" s="120">
        <v>0.33333333333333331</v>
      </c>
      <c r="J4" s="120">
        <v>1</v>
      </c>
      <c r="K4" s="12"/>
    </row>
    <row r="5" spans="1:11" x14ac:dyDescent="0.25">
      <c r="A5" s="51">
        <v>2</v>
      </c>
      <c r="B5" s="115">
        <f t="shared" ref="B5:B13" si="1">IF(COUNTIF(D5:J5,"&gt;"&amp;0),AVERAGE(D5:J5),"")</f>
        <v>0.44444444444444448</v>
      </c>
      <c r="C5" s="119" t="str">
        <f>VLOOKUP(A5,Projects!A:B,2,FALSE)</f>
        <v>Project 2</v>
      </c>
      <c r="D5" s="120">
        <v>0.33333333333333331</v>
      </c>
      <c r="E5" s="120" t="s">
        <v>136</v>
      </c>
      <c r="F5" s="120">
        <v>0.33333333333333331</v>
      </c>
      <c r="G5" s="120">
        <v>0.33333333333333331</v>
      </c>
      <c r="H5" s="120">
        <v>1</v>
      </c>
      <c r="I5" s="120">
        <v>0.33333333333333331</v>
      </c>
      <c r="J5" s="120">
        <v>0.33333333333333331</v>
      </c>
    </row>
    <row r="6" spans="1:11" x14ac:dyDescent="0.25">
      <c r="A6" s="51">
        <v>3</v>
      </c>
      <c r="B6" s="115">
        <f t="shared" si="1"/>
        <v>0.33333333333333331</v>
      </c>
      <c r="C6" s="119" t="str">
        <f>VLOOKUP(A6,Projects!A:B,2,FALSE)</f>
        <v>Project 3</v>
      </c>
      <c r="D6" s="120">
        <v>0.33333333333333331</v>
      </c>
      <c r="E6" s="120">
        <v>0.33333333333333331</v>
      </c>
      <c r="F6" s="120" t="s">
        <v>136</v>
      </c>
      <c r="G6" s="120">
        <v>0.33333333333333331</v>
      </c>
      <c r="H6" s="120">
        <v>0.33333333333333331</v>
      </c>
      <c r="I6" s="120">
        <v>0.33333333333333331</v>
      </c>
      <c r="J6" s="120">
        <v>0.33333333333333331</v>
      </c>
    </row>
    <row r="7" spans="1:11" x14ac:dyDescent="0.25">
      <c r="A7" s="51">
        <v>4</v>
      </c>
      <c r="B7" s="115">
        <f t="shared" si="1"/>
        <v>0.33333333333333331</v>
      </c>
      <c r="C7" s="119" t="str">
        <f>VLOOKUP(A7,Projects!A:B,2,FALSE)</f>
        <v>Project 4</v>
      </c>
      <c r="D7" s="120">
        <v>0.33333333333333331</v>
      </c>
      <c r="E7" s="120">
        <v>0.33333333333333331</v>
      </c>
      <c r="F7" s="120">
        <v>0.33333333333333331</v>
      </c>
      <c r="G7" s="120" t="s">
        <v>136</v>
      </c>
      <c r="H7" s="120">
        <v>0.33333333333333331</v>
      </c>
      <c r="I7" s="120">
        <v>0.33333333333333331</v>
      </c>
      <c r="J7" s="120">
        <v>0.33333333333333331</v>
      </c>
    </row>
    <row r="8" spans="1:11" x14ac:dyDescent="0.25">
      <c r="A8" s="51">
        <v>5</v>
      </c>
      <c r="B8" s="115">
        <f t="shared" si="1"/>
        <v>0.44444444444444448</v>
      </c>
      <c r="C8" s="119" t="str">
        <f>VLOOKUP(A8,Projects!A:B,2,FALSE)</f>
        <v>Project 5</v>
      </c>
      <c r="D8" s="120">
        <v>0.33333333333333331</v>
      </c>
      <c r="E8" s="120">
        <v>0.66666666666666663</v>
      </c>
      <c r="F8" s="120">
        <v>0.33333333333333331</v>
      </c>
      <c r="G8" s="120">
        <v>0.66666666666666663</v>
      </c>
      <c r="H8" s="120" t="s">
        <v>136</v>
      </c>
      <c r="I8" s="120">
        <v>0.33333333333333331</v>
      </c>
      <c r="J8" s="120">
        <v>0.33333333333333331</v>
      </c>
    </row>
    <row r="9" spans="1:11" x14ac:dyDescent="0.25">
      <c r="A9" s="51">
        <v>6</v>
      </c>
      <c r="B9" s="115">
        <f t="shared" si="1"/>
        <v>0.38888888888888884</v>
      </c>
      <c r="C9" s="119" t="str">
        <f>VLOOKUP(A9,Projects!A:B,2,FALSE)</f>
        <v>Project 6</v>
      </c>
      <c r="D9" s="120">
        <v>0.33333333333333331</v>
      </c>
      <c r="E9" s="120">
        <v>0.33333333333333331</v>
      </c>
      <c r="F9" s="120">
        <v>0.33333333333333331</v>
      </c>
      <c r="G9" s="120">
        <v>0.66666666666666663</v>
      </c>
      <c r="H9" s="120">
        <v>0.33333333333333331</v>
      </c>
      <c r="I9" s="120" t="s">
        <v>136</v>
      </c>
      <c r="J9" s="120">
        <v>0.33333333333333331</v>
      </c>
    </row>
    <row r="10" spans="1:11" x14ac:dyDescent="0.25">
      <c r="A10" s="51">
        <v>7</v>
      </c>
      <c r="B10" s="115">
        <f t="shared" si="1"/>
        <v>0.44444444444444442</v>
      </c>
      <c r="C10" s="119" t="str">
        <f>VLOOKUP(A10,Projects!A:B,2,FALSE)</f>
        <v>Project 7</v>
      </c>
      <c r="D10" s="120">
        <v>0.33333333333333331</v>
      </c>
      <c r="E10" s="120">
        <v>0.33333333333333331</v>
      </c>
      <c r="F10" s="120">
        <v>0.33333333333333331</v>
      </c>
      <c r="G10" s="120">
        <v>0.33333333333333331</v>
      </c>
      <c r="H10" s="120">
        <v>1</v>
      </c>
      <c r="I10" s="120">
        <v>0.33333333333333331</v>
      </c>
      <c r="J10" s="120" t="s">
        <v>136</v>
      </c>
    </row>
    <row r="11" spans="1:11" x14ac:dyDescent="0.25">
      <c r="A11" s="51">
        <v>8</v>
      </c>
      <c r="B11" s="115">
        <f t="shared" si="1"/>
        <v>0.47619047619047622</v>
      </c>
      <c r="C11" s="119" t="str">
        <f>VLOOKUP(A11,Projects!A:B,2,FALSE)</f>
        <v>Project 8</v>
      </c>
      <c r="D11" s="120">
        <v>0.33333333333333331</v>
      </c>
      <c r="E11" s="120">
        <v>0.66666666666666663</v>
      </c>
      <c r="F11" s="120">
        <v>0.33333333333333331</v>
      </c>
      <c r="G11" s="120">
        <v>1</v>
      </c>
      <c r="H11" s="120">
        <v>0.33333333333333331</v>
      </c>
      <c r="I11" s="120">
        <v>0.33333333333333331</v>
      </c>
      <c r="J11" s="120">
        <v>0.33333333333333331</v>
      </c>
    </row>
    <row r="12" spans="1:11" x14ac:dyDescent="0.25">
      <c r="A12" s="51">
        <v>9</v>
      </c>
      <c r="B12" s="115">
        <f t="shared" si="1"/>
        <v>0.42857142857142866</v>
      </c>
      <c r="C12" s="119" t="str">
        <f>VLOOKUP(A12,Projects!A:B,2,FALSE)</f>
        <v>Project 9</v>
      </c>
      <c r="D12" s="120">
        <v>0.33333333333333331</v>
      </c>
      <c r="E12" s="120">
        <v>0.66666666666666663</v>
      </c>
      <c r="F12" s="120">
        <v>0.33333333333333331</v>
      </c>
      <c r="G12" s="120">
        <v>0.66666666666666663</v>
      </c>
      <c r="H12" s="120">
        <v>0.33333333333333331</v>
      </c>
      <c r="I12" s="120">
        <v>0.33333333333333331</v>
      </c>
      <c r="J12" s="120">
        <v>0.33333333333333331</v>
      </c>
    </row>
    <row r="13" spans="1:11" x14ac:dyDescent="0.25">
      <c r="A13" s="51">
        <v>10</v>
      </c>
      <c r="B13" s="115">
        <f t="shared" si="1"/>
        <v>0.42857142857142855</v>
      </c>
      <c r="C13" s="119" t="str">
        <f>VLOOKUP(A13,Projects!A:B,2,FALSE)</f>
        <v>Project 10</v>
      </c>
      <c r="D13" s="120">
        <v>0.66666666666666663</v>
      </c>
      <c r="E13" s="120">
        <v>0.33333333333333331</v>
      </c>
      <c r="F13" s="120">
        <v>0.33333333333333331</v>
      </c>
      <c r="G13" s="120">
        <v>0.33333333333333331</v>
      </c>
      <c r="H13" s="120">
        <v>0.33333333333333331</v>
      </c>
      <c r="I13" s="120">
        <v>0.66666666666666663</v>
      </c>
      <c r="J13" s="120">
        <v>0.33333333333333331</v>
      </c>
    </row>
    <row r="14" spans="1:11" x14ac:dyDescent="0.25">
      <c r="A14" s="121"/>
      <c r="B14" s="122"/>
      <c r="C14" s="122"/>
      <c r="D14" s="15"/>
    </row>
    <row r="15" spans="1:11" x14ac:dyDescent="0.25">
      <c r="B15" s="123"/>
      <c r="C15" s="123"/>
    </row>
    <row r="16" spans="1:11" x14ac:dyDescent="0.25">
      <c r="B16" s="123"/>
      <c r="C16" s="123"/>
    </row>
    <row r="17" spans="2:3" x14ac:dyDescent="0.25">
      <c r="B17" s="123"/>
      <c r="C17" s="123"/>
    </row>
    <row r="18" spans="2:3" x14ac:dyDescent="0.25">
      <c r="B18" s="123"/>
      <c r="C18" s="123"/>
    </row>
    <row r="19" spans="2:3" x14ac:dyDescent="0.25">
      <c r="B19" s="123"/>
      <c r="C19" s="123"/>
    </row>
    <row r="20" spans="2:3" x14ac:dyDescent="0.25">
      <c r="B20" s="123"/>
      <c r="C20" s="123"/>
    </row>
    <row r="21" spans="2:3" x14ac:dyDescent="0.25">
      <c r="B21" s="123"/>
      <c r="C21" s="123"/>
    </row>
    <row r="22" spans="2:3" x14ac:dyDescent="0.25">
      <c r="B22" s="123"/>
      <c r="C22" s="123"/>
    </row>
    <row r="23" spans="2:3" x14ac:dyDescent="0.25">
      <c r="B23" s="123"/>
      <c r="C23" s="123"/>
    </row>
    <row r="24" spans="2:3" x14ac:dyDescent="0.25">
      <c r="B24" s="123"/>
      <c r="C24" s="123"/>
    </row>
    <row r="25" spans="2:3" x14ac:dyDescent="0.25">
      <c r="B25" s="123"/>
      <c r="C25" s="123"/>
    </row>
    <row r="26" spans="2:3" x14ac:dyDescent="0.25">
      <c r="B26" s="123"/>
      <c r="C26" s="123"/>
    </row>
    <row r="27" spans="2:3" x14ac:dyDescent="0.25">
      <c r="B27" s="123"/>
      <c r="C27" s="123"/>
    </row>
    <row r="28" spans="2:3" x14ac:dyDescent="0.25">
      <c r="B28" s="123"/>
      <c r="C28" s="123"/>
    </row>
    <row r="29" spans="2:3" x14ac:dyDescent="0.25">
      <c r="B29" s="123"/>
      <c r="C29" s="123"/>
    </row>
    <row r="30" spans="2:3" x14ac:dyDescent="0.25">
      <c r="B30" s="123"/>
      <c r="C30" s="123"/>
    </row>
    <row r="31" spans="2:3" x14ac:dyDescent="0.25">
      <c r="B31" s="123"/>
      <c r="C31" s="123"/>
    </row>
    <row r="32" spans="2:3" x14ac:dyDescent="0.25">
      <c r="B32" s="123"/>
      <c r="C32" s="123"/>
    </row>
    <row r="33" spans="2:3" x14ac:dyDescent="0.25">
      <c r="B33" s="123"/>
      <c r="C33" s="123"/>
    </row>
    <row r="34" spans="2:3" x14ac:dyDescent="0.25">
      <c r="B34" s="123"/>
      <c r="C34" s="123"/>
    </row>
    <row r="35" spans="2:3" x14ac:dyDescent="0.25">
      <c r="B35" s="123"/>
      <c r="C35" s="123"/>
    </row>
    <row r="36" spans="2:3" x14ac:dyDescent="0.25">
      <c r="B36" s="123"/>
      <c r="C36" s="123"/>
    </row>
    <row r="37" spans="2:3" x14ac:dyDescent="0.25">
      <c r="B37" s="123"/>
      <c r="C37" s="123"/>
    </row>
    <row r="38" spans="2:3" x14ac:dyDescent="0.25">
      <c r="B38" s="123"/>
      <c r="C38" s="123"/>
    </row>
    <row r="39" spans="2:3" x14ac:dyDescent="0.25">
      <c r="B39" s="123"/>
      <c r="C39" s="123"/>
    </row>
    <row r="40" spans="2:3" x14ac:dyDescent="0.25">
      <c r="B40" s="123"/>
      <c r="C40" s="123"/>
    </row>
    <row r="41" spans="2:3" x14ac:dyDescent="0.25">
      <c r="B41" s="123"/>
      <c r="C41" s="123"/>
    </row>
    <row r="42" spans="2:3" x14ac:dyDescent="0.25">
      <c r="B42" s="123"/>
      <c r="C42" s="123"/>
    </row>
    <row r="43" spans="2:3" x14ac:dyDescent="0.25">
      <c r="B43" s="123"/>
      <c r="C43" s="123"/>
    </row>
    <row r="44" spans="2:3" x14ac:dyDescent="0.25">
      <c r="B44" s="123"/>
      <c r="C44" s="123"/>
    </row>
    <row r="45" spans="2:3" x14ac:dyDescent="0.25">
      <c r="B45" s="123"/>
      <c r="C45" s="123"/>
    </row>
    <row r="46" spans="2:3" x14ac:dyDescent="0.25">
      <c r="B46" s="123"/>
      <c r="C46" s="123"/>
    </row>
    <row r="47" spans="2:3" x14ac:dyDescent="0.25">
      <c r="B47" s="123"/>
      <c r="C47" s="123"/>
    </row>
    <row r="48" spans="2:3" x14ac:dyDescent="0.25">
      <c r="B48" s="123"/>
      <c r="C48" s="123"/>
    </row>
    <row r="49" spans="2:3" x14ac:dyDescent="0.25">
      <c r="B49" s="123"/>
      <c r="C49" s="123"/>
    </row>
    <row r="50" spans="2:3" x14ac:dyDescent="0.25">
      <c r="B50" s="123"/>
      <c r="C50" s="123"/>
    </row>
    <row r="51" spans="2:3" x14ac:dyDescent="0.25">
      <c r="B51" s="123"/>
      <c r="C51" s="123"/>
    </row>
    <row r="52" spans="2:3" x14ac:dyDescent="0.25">
      <c r="B52" s="123"/>
      <c r="C52" s="123"/>
    </row>
    <row r="53" spans="2:3" x14ac:dyDescent="0.25">
      <c r="B53" s="123"/>
      <c r="C53" s="123"/>
    </row>
    <row r="54" spans="2:3" x14ac:dyDescent="0.25">
      <c r="B54" s="123"/>
      <c r="C54" s="123"/>
    </row>
    <row r="55" spans="2:3" x14ac:dyDescent="0.25">
      <c r="B55" s="123"/>
      <c r="C55" s="123"/>
    </row>
    <row r="56" spans="2:3" x14ac:dyDescent="0.25">
      <c r="B56" s="123"/>
      <c r="C56" s="123"/>
    </row>
    <row r="57" spans="2:3" x14ac:dyDescent="0.25">
      <c r="B57" s="123"/>
      <c r="C57" s="123"/>
    </row>
    <row r="58" spans="2:3" x14ac:dyDescent="0.25">
      <c r="B58" s="123"/>
      <c r="C58" s="123"/>
    </row>
    <row r="59" spans="2:3" x14ac:dyDescent="0.25">
      <c r="B59" s="123"/>
      <c r="C59" s="123"/>
    </row>
    <row r="60" spans="2:3" x14ac:dyDescent="0.25">
      <c r="B60" s="123"/>
      <c r="C60" s="123"/>
    </row>
    <row r="61" spans="2:3" x14ac:dyDescent="0.25">
      <c r="B61" s="123"/>
      <c r="C61" s="123"/>
    </row>
    <row r="62" spans="2:3" x14ac:dyDescent="0.25">
      <c r="B62" s="123"/>
      <c r="C62" s="123"/>
    </row>
    <row r="63" spans="2:3" x14ac:dyDescent="0.25">
      <c r="B63" s="123"/>
      <c r="C63" s="123"/>
    </row>
    <row r="64" spans="2:3" x14ac:dyDescent="0.25">
      <c r="B64" s="123"/>
      <c r="C64" s="123"/>
    </row>
    <row r="65" spans="2:3" x14ac:dyDescent="0.25">
      <c r="B65" s="123"/>
      <c r="C65" s="123"/>
    </row>
    <row r="66" spans="2:3" x14ac:dyDescent="0.25">
      <c r="B66" s="123"/>
      <c r="C66" s="123"/>
    </row>
    <row r="67" spans="2:3" x14ac:dyDescent="0.25">
      <c r="B67" s="123"/>
      <c r="C67" s="123"/>
    </row>
    <row r="68" spans="2:3" x14ac:dyDescent="0.25">
      <c r="B68" s="123"/>
      <c r="C68" s="123"/>
    </row>
    <row r="69" spans="2:3" x14ac:dyDescent="0.25">
      <c r="B69" s="123"/>
      <c r="C69" s="123"/>
    </row>
    <row r="70" spans="2:3" x14ac:dyDescent="0.25">
      <c r="B70" s="123"/>
      <c r="C70" s="123"/>
    </row>
    <row r="71" spans="2:3" x14ac:dyDescent="0.25">
      <c r="B71" s="123"/>
      <c r="C71" s="123"/>
    </row>
    <row r="72" spans="2:3" x14ac:dyDescent="0.25">
      <c r="B72" s="123"/>
      <c r="C72" s="123"/>
    </row>
    <row r="73" spans="2:3" x14ac:dyDescent="0.25">
      <c r="B73" s="123"/>
      <c r="C73" s="123"/>
    </row>
    <row r="74" spans="2:3" x14ac:dyDescent="0.25">
      <c r="B74" s="123"/>
      <c r="C74" s="123"/>
    </row>
    <row r="75" spans="2:3" x14ac:dyDescent="0.25">
      <c r="B75" s="123"/>
      <c r="C75" s="123"/>
    </row>
    <row r="76" spans="2:3" x14ac:dyDescent="0.25">
      <c r="B76" s="123"/>
      <c r="C76" s="123"/>
    </row>
    <row r="77" spans="2:3" x14ac:dyDescent="0.25">
      <c r="B77" s="123"/>
      <c r="C77" s="123"/>
    </row>
    <row r="78" spans="2:3" x14ac:dyDescent="0.25">
      <c r="B78" s="123"/>
      <c r="C78" s="123"/>
    </row>
    <row r="79" spans="2:3" x14ac:dyDescent="0.25">
      <c r="B79" s="123"/>
      <c r="C79" s="123"/>
    </row>
    <row r="80" spans="2:3" x14ac:dyDescent="0.25">
      <c r="B80" s="123"/>
      <c r="C80" s="123"/>
    </row>
  </sheetData>
  <conditionalFormatting sqref="D2:K3">
    <cfRule type="colorScale" priority="15">
      <colorScale>
        <cfvo type="min"/>
        <cfvo type="max"/>
        <color rgb="FFFFEF9C"/>
        <color rgb="FF63BE7B"/>
      </colorScale>
    </cfRule>
  </conditionalFormatting>
  <conditionalFormatting sqref="B4:C80">
    <cfRule type="colorScale" priority="18">
      <colorScale>
        <cfvo type="min"/>
        <cfvo type="max"/>
        <color rgb="FFFFEF9C"/>
        <color rgb="FF63BE7B"/>
      </colorScale>
    </cfRule>
  </conditionalFormatting>
  <conditionalFormatting sqref="D4:J13">
    <cfRule type="colorScale" priority="20">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59A4-24A2-4A81-A4AC-F060E158A5CB}">
  <sheetPr codeName="Sheet31">
    <tabColor theme="9" tint="0.79998168889431442"/>
  </sheetPr>
  <dimension ref="A1:DC191"/>
  <sheetViews>
    <sheetView topLeftCell="C1" zoomScale="130" zoomScaleNormal="130" workbookViewId="0">
      <pane ySplit="6" topLeftCell="A7" activePane="bottomLeft" state="frozen"/>
      <selection activeCell="B10" sqref="B10"/>
      <selection pane="bottomLeft" activeCell="S1" sqref="S1"/>
    </sheetView>
  </sheetViews>
  <sheetFormatPr defaultColWidth="4.5703125" defaultRowHeight="15" x14ac:dyDescent="0.25"/>
  <cols>
    <col min="1" max="1" width="9.140625" customWidth="1"/>
    <col min="2" max="2" width="37.42578125" customWidth="1"/>
    <col min="3" max="4" width="8.140625" customWidth="1"/>
    <col min="5" max="8" width="6.7109375" customWidth="1"/>
    <col min="9" max="9" width="5" style="100" customWidth="1"/>
    <col min="10" max="10" width="5.7109375" customWidth="1"/>
    <col min="11" max="13" width="2.140625" bestFit="1" customWidth="1"/>
    <col min="14" max="14" width="5.7109375" customWidth="1"/>
    <col min="15" max="16" width="2.140625" bestFit="1" customWidth="1"/>
    <col min="17" max="17" width="5.7109375" customWidth="1"/>
    <col min="18" max="18" width="4.5703125" customWidth="1"/>
    <col min="19" max="98" width="3.7109375" bestFit="1" customWidth="1"/>
    <col min="99" max="494" width="4.5703125" customWidth="1"/>
  </cols>
  <sheetData>
    <row r="1" spans="1:107" ht="15.75" customHeight="1" thickBot="1" x14ac:dyDescent="0.3">
      <c r="A1" s="124" t="s">
        <v>132</v>
      </c>
      <c r="B1" s="124"/>
      <c r="C1" s="124"/>
      <c r="D1" s="124"/>
      <c r="E1" s="124"/>
      <c r="F1" s="125"/>
      <c r="G1" s="125"/>
      <c r="H1" s="126" t="s">
        <v>133</v>
      </c>
      <c r="J1" s="69"/>
      <c r="K1" s="69"/>
      <c r="L1" s="69"/>
      <c r="M1" s="69"/>
      <c r="N1" s="127"/>
      <c r="O1" s="127"/>
      <c r="P1" s="127"/>
      <c r="Q1" s="127"/>
      <c r="R1" s="128" t="s">
        <v>134</v>
      </c>
      <c r="S1" s="42"/>
      <c r="T1" s="42"/>
      <c r="U1" s="42"/>
      <c r="V1" s="42"/>
      <c r="W1" s="42"/>
      <c r="X1" s="42"/>
      <c r="Y1" s="42"/>
    </row>
    <row r="2" spans="1:107" ht="15" customHeight="1" x14ac:dyDescent="0.25">
      <c r="A2" s="129" t="s">
        <v>135</v>
      </c>
      <c r="B2" s="42"/>
      <c r="C2" s="42"/>
      <c r="D2" s="42"/>
      <c r="E2" s="48" t="s">
        <v>136</v>
      </c>
      <c r="F2" s="130">
        <f>1/3</f>
        <v>0.33333333333333331</v>
      </c>
      <c r="G2" s="131">
        <f>2/3</f>
        <v>0.66666666666666663</v>
      </c>
      <c r="H2" s="132">
        <v>1</v>
      </c>
      <c r="I2" s="391" t="s">
        <v>137</v>
      </c>
      <c r="J2" s="133"/>
      <c r="K2" s="133"/>
      <c r="L2" s="133"/>
      <c r="M2" s="133"/>
      <c r="N2" s="134"/>
      <c r="O2" s="134"/>
      <c r="P2" s="134"/>
      <c r="Q2" s="134"/>
      <c r="R2" s="135" t="s">
        <v>138</v>
      </c>
      <c r="S2" s="136">
        <f t="shared" ref="S2:Y2" si="0">COUNTIF(S7:S16,"="&amp;"X")</f>
        <v>1</v>
      </c>
      <c r="T2" s="136">
        <f t="shared" si="0"/>
        <v>1</v>
      </c>
      <c r="U2" s="136">
        <f t="shared" si="0"/>
        <v>1</v>
      </c>
      <c r="V2" s="136">
        <f t="shared" si="0"/>
        <v>1</v>
      </c>
      <c r="W2" s="136">
        <f t="shared" si="0"/>
        <v>1</v>
      </c>
      <c r="X2" s="136">
        <f t="shared" si="0"/>
        <v>1</v>
      </c>
      <c r="Y2" s="136">
        <f t="shared" si="0"/>
        <v>1</v>
      </c>
    </row>
    <row r="3" spans="1:107" ht="15.75" customHeight="1" x14ac:dyDescent="0.25">
      <c r="A3" s="137" t="s">
        <v>139</v>
      </c>
      <c r="B3" s="42"/>
      <c r="C3" s="42"/>
      <c r="D3" s="42"/>
      <c r="E3" s="51">
        <f>SUM(E7:E16)</f>
        <v>7</v>
      </c>
      <c r="F3" s="51">
        <f>SUM(F7:F16)</f>
        <v>23</v>
      </c>
      <c r="G3" s="138">
        <f>SUM(G7:G16)</f>
        <v>0</v>
      </c>
      <c r="H3" s="138">
        <f>SUM(H7:H16)</f>
        <v>0</v>
      </c>
      <c r="I3" s="391"/>
      <c r="J3" s="139"/>
      <c r="K3" s="139"/>
      <c r="L3" s="139"/>
      <c r="M3" s="139"/>
      <c r="N3" s="140"/>
      <c r="O3" s="140"/>
      <c r="P3" s="140"/>
      <c r="Q3" s="140"/>
      <c r="R3" s="112" t="s">
        <v>140</v>
      </c>
      <c r="S3" s="51">
        <f t="shared" ref="S3:Y3" si="1">COUNTIF(S7:S16,"&lt;="&amp;$F$2)</f>
        <v>3</v>
      </c>
      <c r="T3" s="51">
        <f t="shared" si="1"/>
        <v>3</v>
      </c>
      <c r="U3" s="51">
        <f t="shared" si="1"/>
        <v>3</v>
      </c>
      <c r="V3" s="51">
        <f t="shared" si="1"/>
        <v>3</v>
      </c>
      <c r="W3" s="51">
        <f t="shared" si="1"/>
        <v>3</v>
      </c>
      <c r="X3" s="51">
        <f t="shared" si="1"/>
        <v>4</v>
      </c>
      <c r="Y3" s="51">
        <f t="shared" si="1"/>
        <v>4</v>
      </c>
    </row>
    <row r="4" spans="1:107" s="69" customFormat="1" ht="15.75" customHeight="1" x14ac:dyDescent="0.25">
      <c r="A4" s="141"/>
      <c r="B4" s="142"/>
      <c r="C4" s="142"/>
      <c r="D4" s="143"/>
      <c r="E4" s="144" t="s">
        <v>141</v>
      </c>
      <c r="F4" s="145"/>
      <c r="G4" s="145"/>
      <c r="H4" s="146"/>
      <c r="I4" s="391"/>
      <c r="J4" s="147" t="s">
        <v>142</v>
      </c>
      <c r="K4" s="147"/>
      <c r="L4" s="147"/>
      <c r="M4" s="147"/>
      <c r="N4" s="148"/>
      <c r="O4" s="148"/>
      <c r="P4" s="148"/>
      <c r="Q4" s="148"/>
      <c r="R4" s="112" t="s">
        <v>143</v>
      </c>
      <c r="S4" s="138">
        <f t="shared" ref="S4:Y4" si="2">COUNTIF(S7:S16,"&lt;="&amp;$G$2)-S3</f>
        <v>0</v>
      </c>
      <c r="T4" s="138">
        <f t="shared" si="2"/>
        <v>0</v>
      </c>
      <c r="U4" s="138">
        <f t="shared" si="2"/>
        <v>0</v>
      </c>
      <c r="V4" s="138">
        <f t="shared" si="2"/>
        <v>0</v>
      </c>
      <c r="W4" s="138">
        <f t="shared" si="2"/>
        <v>0</v>
      </c>
      <c r="X4" s="138">
        <f t="shared" si="2"/>
        <v>0</v>
      </c>
      <c r="Y4" s="138">
        <f t="shared" si="2"/>
        <v>0</v>
      </c>
    </row>
    <row r="5" spans="1:107" s="69" customFormat="1" ht="15" customHeight="1" thickBot="1" x14ac:dyDescent="0.3">
      <c r="A5" s="149"/>
      <c r="B5" s="68"/>
      <c r="C5" s="150"/>
      <c r="D5" s="150"/>
      <c r="E5" s="151"/>
      <c r="F5" s="151"/>
      <c r="G5" s="152" t="s">
        <v>144</v>
      </c>
      <c r="H5" s="153"/>
      <c r="I5" s="391"/>
      <c r="J5" s="154"/>
      <c r="K5" s="154"/>
      <c r="L5" s="154"/>
      <c r="M5" s="154"/>
      <c r="N5" s="155" t="s">
        <v>145</v>
      </c>
      <c r="O5" s="155"/>
      <c r="P5" s="155"/>
      <c r="Q5" s="155"/>
      <c r="R5" s="112" t="s">
        <v>146</v>
      </c>
      <c r="S5" s="138">
        <f t="shared" ref="S5:Y5" si="3">COUNTIF(S7:S16,"&lt;="&amp;$H$2)-S3-S4</f>
        <v>0</v>
      </c>
      <c r="T5" s="138">
        <f t="shared" si="3"/>
        <v>0</v>
      </c>
      <c r="U5" s="138">
        <f t="shared" si="3"/>
        <v>0</v>
      </c>
      <c r="V5" s="138">
        <f t="shared" si="3"/>
        <v>0</v>
      </c>
      <c r="W5" s="138">
        <f t="shared" si="3"/>
        <v>0</v>
      </c>
      <c r="X5" s="138">
        <f t="shared" si="3"/>
        <v>0</v>
      </c>
      <c r="Y5" s="138">
        <f t="shared" si="3"/>
        <v>0</v>
      </c>
    </row>
    <row r="6" spans="1:107" s="69" customFormat="1" ht="30.75" customHeight="1" thickBot="1" x14ac:dyDescent="0.3">
      <c r="A6" s="156" t="s">
        <v>72</v>
      </c>
      <c r="B6" s="157" t="s">
        <v>147</v>
      </c>
      <c r="C6" s="158" t="s">
        <v>148</v>
      </c>
      <c r="D6" s="158" t="s">
        <v>149</v>
      </c>
      <c r="E6" s="159" t="s">
        <v>150</v>
      </c>
      <c r="F6" s="160" t="s">
        <v>151</v>
      </c>
      <c r="G6" s="161" t="s">
        <v>152</v>
      </c>
      <c r="H6" s="162" t="s">
        <v>153</v>
      </c>
      <c r="I6" s="391"/>
      <c r="J6" s="163">
        <v>1</v>
      </c>
      <c r="K6" s="163">
        <v>2</v>
      </c>
      <c r="L6" s="163">
        <v>3</v>
      </c>
      <c r="M6" s="163">
        <v>4</v>
      </c>
      <c r="N6" s="164">
        <v>1</v>
      </c>
      <c r="O6" s="164">
        <v>2</v>
      </c>
      <c r="P6" s="164">
        <v>3</v>
      </c>
      <c r="Q6" s="164">
        <v>4</v>
      </c>
      <c r="R6" s="165" t="s">
        <v>154</v>
      </c>
      <c r="S6" s="166">
        <v>1</v>
      </c>
      <c r="T6" s="166">
        <v>2</v>
      </c>
      <c r="U6" s="166">
        <v>3</v>
      </c>
      <c r="V6" s="166">
        <v>4</v>
      </c>
      <c r="W6" s="166">
        <v>5</v>
      </c>
      <c r="X6" s="166">
        <v>6</v>
      </c>
      <c r="Y6" s="166">
        <v>7</v>
      </c>
    </row>
    <row r="7" spans="1:107" ht="15.75" thickBot="1" x14ac:dyDescent="0.3">
      <c r="A7" s="167">
        <f>IF(LEN(Projects!A3)&gt;0,Projects!A3,"")</f>
        <v>1</v>
      </c>
      <c r="B7" s="101" t="str">
        <f>IF(ISNA(VLOOKUP(A7,Projects!A:B,2,FALSE)), "",VLOOKUP(A7,Projects!A:B,2,FALSE))</f>
        <v>Project 1</v>
      </c>
      <c r="C7" s="168">
        <f>3*H7+2*G7+1*F7</f>
        <v>2</v>
      </c>
      <c r="D7" s="168">
        <f>SUM(F7:F7)</f>
        <v>2</v>
      </c>
      <c r="E7" s="168">
        <f>COUNTIF(S7:Y7,"="&amp;"X")</f>
        <v>1</v>
      </c>
      <c r="F7" s="168">
        <f>COUNTIF($S7:$Y7,"&lt;="&amp;F$2)</f>
        <v>2</v>
      </c>
      <c r="G7" s="169">
        <f>COUNTIF($S7:$Y7,"&lt;="&amp;G$2)-F7</f>
        <v>0</v>
      </c>
      <c r="H7" s="169">
        <f>COUNTIF($S7:$Y7,"&lt;="&amp;H$2)-G7-F7</f>
        <v>0</v>
      </c>
      <c r="I7" s="170">
        <f>SUM(J7:M7)</f>
        <v>7</v>
      </c>
      <c r="J7" s="168">
        <v>3</v>
      </c>
      <c r="K7" s="168">
        <v>2</v>
      </c>
      <c r="L7" s="168">
        <v>1</v>
      </c>
      <c r="M7" s="168">
        <v>1</v>
      </c>
      <c r="N7" s="171">
        <v>7</v>
      </c>
      <c r="O7" s="171">
        <v>3</v>
      </c>
      <c r="P7" s="171">
        <v>5</v>
      </c>
      <c r="Q7" s="171">
        <v>4</v>
      </c>
      <c r="R7" s="172"/>
      <c r="S7" s="462" t="s">
        <v>136</v>
      </c>
      <c r="T7" s="462">
        <v>0.33333333333333331</v>
      </c>
      <c r="U7" s="462" t="s">
        <v>267</v>
      </c>
      <c r="V7" s="462" t="s">
        <v>267</v>
      </c>
      <c r="W7" s="462" t="s">
        <v>267</v>
      </c>
      <c r="X7" s="462">
        <v>0.33333333333333331</v>
      </c>
      <c r="Y7" s="462" t="s">
        <v>267</v>
      </c>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c r="CA7" s="173"/>
      <c r="CB7" s="173"/>
      <c r="CC7" s="173"/>
      <c r="CD7" s="173"/>
      <c r="CE7" s="173"/>
      <c r="CF7" s="173"/>
      <c r="CG7" s="173"/>
      <c r="CH7" s="173"/>
      <c r="CI7" s="173"/>
      <c r="CJ7" s="173"/>
      <c r="CK7" s="173"/>
      <c r="CL7" s="173"/>
      <c r="CM7" s="173"/>
      <c r="CN7" s="173"/>
      <c r="CO7" s="173"/>
      <c r="CP7" s="173"/>
      <c r="CQ7" s="173"/>
      <c r="CR7" s="173"/>
      <c r="CS7" s="173"/>
      <c r="CT7" s="173"/>
      <c r="CU7" s="173"/>
      <c r="CV7" s="173"/>
      <c r="CW7" s="173"/>
      <c r="CX7" s="173"/>
      <c r="CY7" s="173"/>
      <c r="CZ7" s="173"/>
      <c r="DA7" s="173"/>
      <c r="DB7" s="173"/>
      <c r="DC7" s="173"/>
    </row>
    <row r="8" spans="1:107" ht="15.75" thickBot="1" x14ac:dyDescent="0.3">
      <c r="A8" s="167">
        <f>IF(LEN(Projects!A4)&gt;0,Projects!A4,"")</f>
        <v>2</v>
      </c>
      <c r="B8" s="101" t="str">
        <f>IF(ISNA(VLOOKUP(A8,Projects!A:B,2,FALSE)), "",VLOOKUP(A8,Projects!A:B,2,FALSE))</f>
        <v>Project 2</v>
      </c>
      <c r="C8" s="168">
        <f t="shared" ref="C8:C16" si="4">3*H8+2*G8+1*F8</f>
        <v>2</v>
      </c>
      <c r="D8" s="168">
        <f t="shared" ref="D8:D16" si="5">SUM(F8:F8)</f>
        <v>2</v>
      </c>
      <c r="E8" s="168">
        <f t="shared" ref="E8:E16" si="6">COUNTIF(S8:Y8,"="&amp;"X")</f>
        <v>1</v>
      </c>
      <c r="F8" s="168">
        <f t="shared" ref="F8:F16" si="7">COUNTIF($S8:$Y8,"&lt;="&amp;F$2)</f>
        <v>2</v>
      </c>
      <c r="G8" s="169">
        <f t="shared" ref="G8:G16" si="8">COUNTIF($S8:$Y8,"&lt;="&amp;G$2)-F8</f>
        <v>0</v>
      </c>
      <c r="H8" s="169">
        <f t="shared" ref="H8:H16" si="9">COUNTIF($S8:$Y8,"&lt;="&amp;H$2)-G8-F8</f>
        <v>0</v>
      </c>
      <c r="I8" s="170">
        <f t="shared" ref="I8:I16" si="10">SUM(J8:M8)</f>
        <v>6</v>
      </c>
      <c r="J8" s="168">
        <v>3</v>
      </c>
      <c r="K8" s="168">
        <v>1</v>
      </c>
      <c r="L8" s="168">
        <v>1</v>
      </c>
      <c r="M8" s="168">
        <v>1</v>
      </c>
      <c r="N8" s="171">
        <v>5</v>
      </c>
      <c r="O8" s="171">
        <v>6</v>
      </c>
      <c r="P8" s="171">
        <v>7</v>
      </c>
      <c r="Q8" s="171">
        <v>3</v>
      </c>
      <c r="R8" s="172"/>
      <c r="S8" s="462">
        <v>0.33333333333333331</v>
      </c>
      <c r="T8" s="462" t="s">
        <v>136</v>
      </c>
      <c r="U8" s="462" t="s">
        <v>267</v>
      </c>
      <c r="V8" s="462">
        <v>0.33333333333333331</v>
      </c>
      <c r="W8" s="462" t="s">
        <v>267</v>
      </c>
      <c r="X8" s="462" t="s">
        <v>267</v>
      </c>
      <c r="Y8" s="462" t="s">
        <v>267</v>
      </c>
      <c r="AB8" s="173"/>
      <c r="AC8" s="173"/>
      <c r="AD8" s="173"/>
      <c r="AE8" s="173"/>
      <c r="AF8" s="173"/>
      <c r="AG8" s="173"/>
      <c r="AH8" s="173"/>
      <c r="AI8" s="173"/>
      <c r="AJ8" s="173"/>
      <c r="AK8" s="173"/>
      <c r="AL8" s="173"/>
      <c r="AM8" s="173"/>
      <c r="AN8" s="173"/>
      <c r="AO8" s="173"/>
      <c r="AP8" s="173"/>
      <c r="AQ8" s="173"/>
      <c r="AR8" s="173"/>
      <c r="AS8" s="173"/>
      <c r="AT8" s="173"/>
      <c r="AU8" s="173"/>
      <c r="AV8" s="173"/>
      <c r="AW8" s="173"/>
      <c r="AX8" s="173"/>
      <c r="AY8" s="173"/>
      <c r="AZ8" s="173"/>
      <c r="BA8" s="173"/>
      <c r="BB8" s="173"/>
      <c r="BC8" s="173"/>
      <c r="BD8" s="173"/>
      <c r="BE8" s="173"/>
      <c r="BF8" s="173"/>
      <c r="BG8" s="173"/>
      <c r="BH8" s="173"/>
      <c r="BI8" s="173"/>
      <c r="BJ8" s="173"/>
      <c r="BK8" s="173"/>
      <c r="BL8" s="173"/>
      <c r="BM8" s="173"/>
      <c r="BN8" s="173"/>
      <c r="BO8" s="173"/>
      <c r="BP8" s="173"/>
      <c r="BQ8" s="173"/>
      <c r="BR8" s="173"/>
      <c r="BS8" s="173"/>
      <c r="BT8" s="173"/>
      <c r="BU8" s="173"/>
      <c r="BV8" s="173"/>
      <c r="BW8" s="173"/>
      <c r="BX8" s="173"/>
      <c r="BY8" s="173"/>
      <c r="BZ8" s="173"/>
      <c r="CA8" s="173"/>
      <c r="CB8" s="173"/>
      <c r="CC8" s="173"/>
      <c r="CD8" s="173"/>
      <c r="CE8" s="173"/>
      <c r="CF8" s="173"/>
      <c r="CG8" s="173"/>
      <c r="CH8" s="173"/>
      <c r="CI8" s="173"/>
      <c r="CJ8" s="173"/>
      <c r="CK8" s="173"/>
      <c r="CL8" s="173"/>
      <c r="CM8" s="173"/>
      <c r="CN8" s="173"/>
      <c r="CO8" s="173"/>
      <c r="CP8" s="173"/>
      <c r="CQ8" s="173"/>
      <c r="CR8" s="173"/>
      <c r="CS8" s="173"/>
      <c r="CT8" s="173"/>
      <c r="CU8" s="173"/>
      <c r="CV8" s="173"/>
      <c r="CW8" s="173"/>
      <c r="CX8" s="173"/>
      <c r="CY8" s="173"/>
      <c r="CZ8" s="173"/>
      <c r="DA8" s="173"/>
      <c r="DB8" s="173"/>
      <c r="DC8" s="173"/>
    </row>
    <row r="9" spans="1:107" ht="15.75" thickBot="1" x14ac:dyDescent="0.3">
      <c r="A9" s="167">
        <f>IF(LEN(Projects!A5)&gt;0,Projects!A5,"")</f>
        <v>3</v>
      </c>
      <c r="B9" s="101" t="str">
        <f>IF(ISNA(VLOOKUP(A9,Projects!A:B,2,FALSE)), "",VLOOKUP(A9,Projects!A:B,2,FALSE))</f>
        <v>Project 3</v>
      </c>
      <c r="C9" s="168">
        <f t="shared" si="4"/>
        <v>2</v>
      </c>
      <c r="D9" s="168">
        <f t="shared" si="5"/>
        <v>2</v>
      </c>
      <c r="E9" s="168">
        <f t="shared" si="6"/>
        <v>1</v>
      </c>
      <c r="F9" s="168">
        <f t="shared" si="7"/>
        <v>2</v>
      </c>
      <c r="G9" s="169">
        <f t="shared" si="8"/>
        <v>0</v>
      </c>
      <c r="H9" s="169">
        <f t="shared" si="9"/>
        <v>0</v>
      </c>
      <c r="I9" s="170">
        <f t="shared" si="10"/>
        <v>4</v>
      </c>
      <c r="J9" s="168">
        <v>1</v>
      </c>
      <c r="K9" s="168">
        <v>1</v>
      </c>
      <c r="L9" s="168">
        <v>1</v>
      </c>
      <c r="M9" s="168">
        <v>1</v>
      </c>
      <c r="N9" s="171">
        <v>1</v>
      </c>
      <c r="O9" s="171">
        <v>7</v>
      </c>
      <c r="P9" s="171">
        <v>2</v>
      </c>
      <c r="Q9" s="171">
        <v>5</v>
      </c>
      <c r="R9" s="172"/>
      <c r="S9" s="462" t="s">
        <v>267</v>
      </c>
      <c r="T9" s="462" t="s">
        <v>267</v>
      </c>
      <c r="U9" s="462" t="s">
        <v>136</v>
      </c>
      <c r="V9" s="462">
        <v>0.33333333333333331</v>
      </c>
      <c r="W9" s="462" t="s">
        <v>267</v>
      </c>
      <c r="X9" s="462">
        <v>0.33333333333333331</v>
      </c>
      <c r="Y9" s="462" t="s">
        <v>267</v>
      </c>
      <c r="Z9" s="173"/>
      <c r="AA9" s="173"/>
      <c r="AB9" s="173"/>
      <c r="AC9" s="173"/>
      <c r="AD9" s="173"/>
      <c r="AE9" s="173"/>
      <c r="AF9" s="173"/>
      <c r="AG9" s="173"/>
      <c r="AH9" s="173"/>
      <c r="AI9" s="173"/>
      <c r="AJ9" s="173"/>
      <c r="AK9" s="173"/>
      <c r="AL9" s="173"/>
      <c r="AM9" s="173"/>
      <c r="AN9" s="173"/>
      <c r="AO9" s="173"/>
      <c r="AP9" s="173"/>
      <c r="AQ9" s="173"/>
      <c r="AR9" s="173"/>
      <c r="AS9" s="173"/>
      <c r="AT9" s="173"/>
      <c r="AU9" s="173"/>
      <c r="AV9" s="173"/>
      <c r="AW9" s="173"/>
      <c r="AX9" s="173"/>
      <c r="AY9" s="173"/>
      <c r="AZ9" s="173"/>
      <c r="BA9" s="173"/>
      <c r="BB9" s="173"/>
      <c r="BC9" s="173"/>
      <c r="BD9" s="173"/>
      <c r="BE9" s="173"/>
      <c r="BF9" s="173"/>
      <c r="BG9" s="173"/>
      <c r="BH9" s="173"/>
      <c r="BI9" s="173"/>
      <c r="BJ9" s="173"/>
      <c r="BK9" s="173"/>
      <c r="BL9" s="173"/>
      <c r="BM9" s="173"/>
      <c r="BN9" s="173"/>
      <c r="BO9" s="173"/>
      <c r="BP9" s="173"/>
      <c r="BQ9" s="173"/>
      <c r="BR9" s="173"/>
      <c r="BS9" s="173"/>
      <c r="BT9" s="173"/>
      <c r="BU9" s="173"/>
      <c r="BV9" s="173"/>
      <c r="BW9" s="173"/>
      <c r="BX9" s="173"/>
      <c r="BY9" s="173"/>
      <c r="BZ9" s="173"/>
      <c r="CA9" s="173"/>
      <c r="CB9" s="173"/>
      <c r="CC9" s="173"/>
      <c r="CD9" s="173"/>
      <c r="CE9" s="173"/>
      <c r="CF9" s="173"/>
      <c r="CG9" s="173"/>
      <c r="CH9" s="173"/>
      <c r="CI9" s="173"/>
      <c r="CJ9" s="173"/>
      <c r="CK9" s="173"/>
      <c r="CL9" s="173"/>
      <c r="CM9" s="173"/>
      <c r="CN9" s="173"/>
      <c r="CO9" s="173"/>
      <c r="CP9" s="173"/>
      <c r="CQ9" s="173"/>
      <c r="CR9" s="173"/>
      <c r="CS9" s="173"/>
      <c r="CT9" s="173"/>
    </row>
    <row r="10" spans="1:107" ht="15.75" thickBot="1" x14ac:dyDescent="0.3">
      <c r="A10" s="167">
        <f>IF(LEN(Projects!A6)&gt;0,Projects!A6,"")</f>
        <v>4</v>
      </c>
      <c r="B10" s="101" t="str">
        <f>IF(ISNA(VLOOKUP(A10,Projects!A:B,2,FALSE)), "",VLOOKUP(A10,Projects!A:B,2,FALSE))</f>
        <v>Project 4</v>
      </c>
      <c r="C10" s="168">
        <f t="shared" si="4"/>
        <v>2</v>
      </c>
      <c r="D10" s="168">
        <f t="shared" si="5"/>
        <v>2</v>
      </c>
      <c r="E10" s="168">
        <f t="shared" si="6"/>
        <v>1</v>
      </c>
      <c r="F10" s="168">
        <f t="shared" si="7"/>
        <v>2</v>
      </c>
      <c r="G10" s="169">
        <f t="shared" si="8"/>
        <v>0</v>
      </c>
      <c r="H10" s="169">
        <f t="shared" si="9"/>
        <v>0</v>
      </c>
      <c r="I10" s="170">
        <f t="shared" si="10"/>
        <v>4</v>
      </c>
      <c r="J10" s="168">
        <v>1</v>
      </c>
      <c r="K10" s="168">
        <v>1</v>
      </c>
      <c r="L10" s="168">
        <v>1</v>
      </c>
      <c r="M10" s="168">
        <v>1</v>
      </c>
      <c r="N10" s="171">
        <v>3</v>
      </c>
      <c r="O10" s="171">
        <v>1</v>
      </c>
      <c r="P10" s="171">
        <v>5</v>
      </c>
      <c r="Q10" s="171">
        <v>6</v>
      </c>
      <c r="R10" s="172"/>
      <c r="S10" s="462" t="s">
        <v>267</v>
      </c>
      <c r="T10" s="462">
        <v>0.33333333333333331</v>
      </c>
      <c r="U10" s="462" t="s">
        <v>267</v>
      </c>
      <c r="V10" s="462" t="s">
        <v>136</v>
      </c>
      <c r="W10" s="462" t="s">
        <v>267</v>
      </c>
      <c r="X10" s="462" t="s">
        <v>267</v>
      </c>
      <c r="Y10" s="462">
        <v>0.33333333333333331</v>
      </c>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c r="BA10" s="173"/>
      <c r="BB10" s="173"/>
      <c r="BC10" s="173"/>
      <c r="BD10" s="173"/>
      <c r="BE10" s="173"/>
      <c r="BF10" s="173"/>
      <c r="BG10" s="173"/>
      <c r="BH10" s="173"/>
      <c r="BI10" s="173"/>
      <c r="BJ10" s="173"/>
      <c r="BK10" s="173"/>
      <c r="BL10" s="173"/>
      <c r="BM10" s="173"/>
      <c r="BN10" s="173"/>
      <c r="BO10" s="173"/>
      <c r="BP10" s="173"/>
      <c r="BQ10" s="173"/>
      <c r="BR10" s="173"/>
      <c r="BS10" s="173"/>
      <c r="BT10" s="173"/>
      <c r="BU10" s="173"/>
      <c r="BV10" s="173"/>
      <c r="BW10" s="173"/>
      <c r="BX10" s="173"/>
      <c r="BY10" s="173"/>
      <c r="BZ10" s="173"/>
      <c r="CA10" s="173"/>
      <c r="CB10" s="173"/>
      <c r="CC10" s="173"/>
      <c r="CD10" s="173"/>
      <c r="CE10" s="173"/>
      <c r="CF10" s="173"/>
      <c r="CG10" s="173"/>
      <c r="CH10" s="173"/>
      <c r="CI10" s="173"/>
      <c r="CJ10" s="173"/>
      <c r="CK10" s="173"/>
      <c r="CL10" s="173"/>
      <c r="CM10" s="173"/>
      <c r="CN10" s="173"/>
      <c r="CO10" s="173"/>
      <c r="CP10" s="173"/>
      <c r="CQ10" s="173"/>
      <c r="CR10" s="173"/>
      <c r="CS10" s="173"/>
      <c r="CT10" s="173"/>
    </row>
    <row r="11" spans="1:107" ht="15.75" thickBot="1" x14ac:dyDescent="0.3">
      <c r="A11" s="167">
        <f>IF(LEN(Projects!A7)&gt;0,Projects!A7,"")</f>
        <v>5</v>
      </c>
      <c r="B11" s="101" t="str">
        <f>IF(ISNA(VLOOKUP(A11,Projects!A:B,2,FALSE)), "",VLOOKUP(A11,Projects!A:B,2,FALSE))</f>
        <v>Project 5</v>
      </c>
      <c r="C11" s="168">
        <f t="shared" si="4"/>
        <v>2</v>
      </c>
      <c r="D11" s="168">
        <f t="shared" si="5"/>
        <v>2</v>
      </c>
      <c r="E11" s="168">
        <f t="shared" si="6"/>
        <v>1</v>
      </c>
      <c r="F11" s="168">
        <f t="shared" si="7"/>
        <v>2</v>
      </c>
      <c r="G11" s="169">
        <f t="shared" si="8"/>
        <v>0</v>
      </c>
      <c r="H11" s="169">
        <f t="shared" si="9"/>
        <v>0</v>
      </c>
      <c r="I11" s="170">
        <f t="shared" si="10"/>
        <v>6</v>
      </c>
      <c r="J11" s="168">
        <v>2</v>
      </c>
      <c r="K11" s="168">
        <v>2</v>
      </c>
      <c r="L11" s="168">
        <v>1</v>
      </c>
      <c r="M11" s="168">
        <v>1</v>
      </c>
      <c r="N11" s="171">
        <v>2</v>
      </c>
      <c r="O11" s="171">
        <v>4</v>
      </c>
      <c r="P11" s="171">
        <v>1</v>
      </c>
      <c r="Q11" s="171">
        <v>7</v>
      </c>
      <c r="R11" s="172"/>
      <c r="S11" s="462" t="s">
        <v>267</v>
      </c>
      <c r="T11" s="462" t="s">
        <v>267</v>
      </c>
      <c r="U11" s="462">
        <v>0.33333333333333331</v>
      </c>
      <c r="V11" s="462" t="s">
        <v>267</v>
      </c>
      <c r="W11" s="462" t="s">
        <v>136</v>
      </c>
      <c r="X11" s="462">
        <v>0.33333333333333331</v>
      </c>
      <c r="Y11" s="462" t="s">
        <v>267</v>
      </c>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73"/>
      <c r="AX11" s="173"/>
      <c r="AY11" s="173"/>
      <c r="AZ11" s="173"/>
      <c r="BA11" s="173"/>
      <c r="BB11" s="173"/>
      <c r="BC11" s="173"/>
      <c r="BD11" s="173"/>
      <c r="BE11" s="173"/>
      <c r="BF11" s="173"/>
      <c r="BG11" s="173"/>
      <c r="BH11" s="173"/>
      <c r="BI11" s="173"/>
      <c r="BJ11" s="173"/>
      <c r="BK11" s="173"/>
      <c r="BL11" s="173"/>
      <c r="BM11" s="173"/>
      <c r="BN11" s="173"/>
      <c r="BO11" s="173"/>
      <c r="BP11" s="173"/>
      <c r="BQ11" s="173"/>
      <c r="BR11" s="173"/>
      <c r="BS11" s="173"/>
      <c r="BT11" s="173"/>
      <c r="BU11" s="173"/>
      <c r="BV11" s="173"/>
      <c r="BW11" s="173"/>
      <c r="BX11" s="173"/>
      <c r="BY11" s="173"/>
      <c r="BZ11" s="173"/>
      <c r="CA11" s="173"/>
      <c r="CB11" s="173"/>
      <c r="CC11" s="173"/>
      <c r="CD11" s="173"/>
      <c r="CE11" s="173"/>
      <c r="CF11" s="173"/>
      <c r="CG11" s="173"/>
      <c r="CH11" s="173"/>
      <c r="CI11" s="173"/>
      <c r="CJ11" s="173"/>
      <c r="CK11" s="173"/>
      <c r="CL11" s="173"/>
      <c r="CM11" s="173"/>
      <c r="CN11" s="173"/>
      <c r="CO11" s="173"/>
      <c r="CP11" s="173"/>
      <c r="CQ11" s="173"/>
      <c r="CR11" s="173"/>
      <c r="CS11" s="173"/>
      <c r="CT11" s="173"/>
    </row>
    <row r="12" spans="1:107" ht="15.75" thickBot="1" x14ac:dyDescent="0.3">
      <c r="A12" s="167">
        <f>IF(LEN(Projects!A8)&gt;0,Projects!A8,"")</f>
        <v>6</v>
      </c>
      <c r="B12" s="101" t="str">
        <f>IF(ISNA(VLOOKUP(A12,Projects!A:B,2,FALSE)), "",VLOOKUP(A12,Projects!A:B,2,FALSE))</f>
        <v>Project 6</v>
      </c>
      <c r="C12" s="168">
        <f t="shared" si="4"/>
        <v>2</v>
      </c>
      <c r="D12" s="168">
        <f t="shared" si="5"/>
        <v>2</v>
      </c>
      <c r="E12" s="168">
        <f t="shared" si="6"/>
        <v>1</v>
      </c>
      <c r="F12" s="168">
        <f t="shared" si="7"/>
        <v>2</v>
      </c>
      <c r="G12" s="169">
        <f t="shared" si="8"/>
        <v>0</v>
      </c>
      <c r="H12" s="169">
        <f t="shared" si="9"/>
        <v>0</v>
      </c>
      <c r="I12" s="170">
        <f t="shared" si="10"/>
        <v>5</v>
      </c>
      <c r="J12" s="168">
        <v>2</v>
      </c>
      <c r="K12" s="168">
        <v>1</v>
      </c>
      <c r="L12" s="168">
        <v>1</v>
      </c>
      <c r="M12" s="168">
        <v>1</v>
      </c>
      <c r="N12" s="171">
        <v>4</v>
      </c>
      <c r="O12" s="171">
        <v>3</v>
      </c>
      <c r="P12" s="171">
        <v>7</v>
      </c>
      <c r="Q12" s="171">
        <v>1</v>
      </c>
      <c r="R12" s="172"/>
      <c r="S12" s="462" t="s">
        <v>267</v>
      </c>
      <c r="T12" s="462">
        <v>0.33333333333333331</v>
      </c>
      <c r="U12" s="462" t="s">
        <v>267</v>
      </c>
      <c r="V12" s="462" t="s">
        <v>267</v>
      </c>
      <c r="W12" s="462">
        <v>0.33333333333333331</v>
      </c>
      <c r="X12" s="462" t="s">
        <v>136</v>
      </c>
      <c r="Y12" s="462" t="s">
        <v>267</v>
      </c>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173"/>
      <c r="CS12" s="173"/>
      <c r="CT12" s="173"/>
    </row>
    <row r="13" spans="1:107" ht="15.75" thickBot="1" x14ac:dyDescent="0.3">
      <c r="A13" s="167">
        <f>IF(LEN(Projects!A9)&gt;0,Projects!A9,"")</f>
        <v>7</v>
      </c>
      <c r="B13" s="101" t="str">
        <f>IF(ISNA(VLOOKUP(A13,Projects!A:B,2,FALSE)), "",VLOOKUP(A13,Projects!A:B,2,FALSE))</f>
        <v>Project 7</v>
      </c>
      <c r="C13" s="168">
        <f t="shared" si="4"/>
        <v>2</v>
      </c>
      <c r="D13" s="168">
        <f t="shared" si="5"/>
        <v>2</v>
      </c>
      <c r="E13" s="168">
        <f t="shared" si="6"/>
        <v>1</v>
      </c>
      <c r="F13" s="168">
        <f t="shared" si="7"/>
        <v>2</v>
      </c>
      <c r="G13" s="169">
        <f t="shared" si="8"/>
        <v>0</v>
      </c>
      <c r="H13" s="169">
        <f t="shared" si="9"/>
        <v>0</v>
      </c>
      <c r="I13" s="170">
        <f t="shared" si="10"/>
        <v>6</v>
      </c>
      <c r="J13" s="168">
        <v>3</v>
      </c>
      <c r="K13" s="168">
        <v>1</v>
      </c>
      <c r="L13" s="168">
        <v>1</v>
      </c>
      <c r="M13" s="168">
        <v>1</v>
      </c>
      <c r="N13" s="171">
        <v>5</v>
      </c>
      <c r="O13" s="171">
        <v>6</v>
      </c>
      <c r="P13" s="171">
        <v>3</v>
      </c>
      <c r="Q13" s="171">
        <v>2</v>
      </c>
      <c r="R13" s="172"/>
      <c r="S13" s="462">
        <v>0.33333333333333331</v>
      </c>
      <c r="T13" s="462" t="s">
        <v>267</v>
      </c>
      <c r="U13" s="462" t="s">
        <v>267</v>
      </c>
      <c r="V13" s="462">
        <v>0.33333333333333331</v>
      </c>
      <c r="W13" s="462" t="s">
        <v>267</v>
      </c>
      <c r="X13" s="462" t="s">
        <v>267</v>
      </c>
      <c r="Y13" s="462" t="s">
        <v>136</v>
      </c>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73"/>
      <c r="BL13" s="173"/>
      <c r="BM13" s="173"/>
      <c r="BN13" s="173"/>
      <c r="BO13" s="173"/>
      <c r="BP13" s="173"/>
      <c r="BQ13" s="173"/>
      <c r="BR13" s="173"/>
      <c r="BS13" s="173"/>
      <c r="BT13" s="173"/>
      <c r="BU13" s="173"/>
      <c r="BV13" s="173"/>
      <c r="BW13" s="173"/>
      <c r="BX13" s="173"/>
      <c r="BY13" s="173"/>
      <c r="BZ13" s="173"/>
      <c r="CA13" s="173"/>
      <c r="CB13" s="173"/>
      <c r="CC13" s="173"/>
      <c r="CD13" s="173"/>
      <c r="CE13" s="173"/>
      <c r="CF13" s="173"/>
      <c r="CG13" s="173"/>
      <c r="CH13" s="173"/>
      <c r="CI13" s="173"/>
      <c r="CJ13" s="173"/>
      <c r="CK13" s="173"/>
      <c r="CL13" s="173"/>
      <c r="CM13" s="173"/>
      <c r="CN13" s="173"/>
      <c r="CO13" s="173"/>
      <c r="CP13" s="173"/>
      <c r="CQ13" s="173"/>
      <c r="CR13" s="173"/>
      <c r="CS13" s="173"/>
      <c r="CT13" s="173"/>
    </row>
    <row r="14" spans="1:107" ht="15.75" thickBot="1" x14ac:dyDescent="0.3">
      <c r="A14" s="167">
        <f>IF(LEN(Projects!A10)&gt;0,Projects!A10,"")</f>
        <v>8</v>
      </c>
      <c r="B14" s="101" t="str">
        <f>IF(ISNA(VLOOKUP(A14,Projects!A:B,2,FALSE)), "",VLOOKUP(A14,Projects!A:B,2,FALSE))</f>
        <v>Project 8</v>
      </c>
      <c r="C14" s="168">
        <f t="shared" si="4"/>
        <v>3</v>
      </c>
      <c r="D14" s="168">
        <f t="shared" si="5"/>
        <v>3</v>
      </c>
      <c r="E14" s="168">
        <f t="shared" si="6"/>
        <v>0</v>
      </c>
      <c r="F14" s="168">
        <f t="shared" si="7"/>
        <v>3</v>
      </c>
      <c r="G14" s="169">
        <f t="shared" si="8"/>
        <v>0</v>
      </c>
      <c r="H14" s="169">
        <f t="shared" si="9"/>
        <v>0</v>
      </c>
      <c r="I14" s="170">
        <f t="shared" si="10"/>
        <v>7</v>
      </c>
      <c r="J14" s="168">
        <v>3</v>
      </c>
      <c r="K14" s="168">
        <v>2</v>
      </c>
      <c r="L14" s="168">
        <v>1</v>
      </c>
      <c r="M14" s="168">
        <v>1</v>
      </c>
      <c r="N14" s="171">
        <v>4</v>
      </c>
      <c r="O14" s="171">
        <v>2</v>
      </c>
      <c r="P14" s="171">
        <v>6</v>
      </c>
      <c r="Q14" s="171">
        <v>3</v>
      </c>
      <c r="R14" s="172"/>
      <c r="S14" s="462">
        <v>0.33333333333333331</v>
      </c>
      <c r="T14" s="462" t="s">
        <v>267</v>
      </c>
      <c r="U14" s="462" t="s">
        <v>267</v>
      </c>
      <c r="V14" s="462" t="s">
        <v>267</v>
      </c>
      <c r="W14" s="462">
        <v>0.33333333333333331</v>
      </c>
      <c r="X14" s="462" t="s">
        <v>267</v>
      </c>
      <c r="Y14" s="462">
        <v>0.33333333333333331</v>
      </c>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173"/>
      <c r="BU14" s="173"/>
      <c r="BV14" s="173"/>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173"/>
      <c r="CS14" s="173"/>
      <c r="CT14" s="173"/>
    </row>
    <row r="15" spans="1:107" ht="15.75" thickBot="1" x14ac:dyDescent="0.3">
      <c r="A15" s="167">
        <f>IF(LEN(Projects!A11)&gt;0,Projects!A11,"")</f>
        <v>9</v>
      </c>
      <c r="B15" s="101" t="str">
        <f>IF(ISNA(VLOOKUP(A15,Projects!A:B,2,FALSE)), "",VLOOKUP(A15,Projects!A:B,2,FALSE))</f>
        <v>Project 9</v>
      </c>
      <c r="C15" s="168">
        <f t="shared" si="4"/>
        <v>3</v>
      </c>
      <c r="D15" s="168">
        <f t="shared" si="5"/>
        <v>3</v>
      </c>
      <c r="E15" s="168">
        <f t="shared" si="6"/>
        <v>0</v>
      </c>
      <c r="F15" s="168">
        <f t="shared" si="7"/>
        <v>3</v>
      </c>
      <c r="G15" s="169">
        <f t="shared" si="8"/>
        <v>0</v>
      </c>
      <c r="H15" s="169">
        <f t="shared" si="9"/>
        <v>0</v>
      </c>
      <c r="I15" s="170">
        <f t="shared" si="10"/>
        <v>6</v>
      </c>
      <c r="J15" s="168">
        <v>2</v>
      </c>
      <c r="K15" s="168">
        <v>2</v>
      </c>
      <c r="L15" s="168">
        <v>1</v>
      </c>
      <c r="M15" s="168">
        <v>1</v>
      </c>
      <c r="N15" s="171">
        <v>2</v>
      </c>
      <c r="O15" s="171">
        <v>4</v>
      </c>
      <c r="P15" s="171">
        <v>1</v>
      </c>
      <c r="Q15" s="171">
        <v>5</v>
      </c>
      <c r="R15" s="172"/>
      <c r="S15" s="462" t="s">
        <v>267</v>
      </c>
      <c r="T15" s="462" t="s">
        <v>267</v>
      </c>
      <c r="U15" s="462">
        <v>0.33333333333333331</v>
      </c>
      <c r="V15" s="462" t="s">
        <v>267</v>
      </c>
      <c r="W15" s="462" t="s">
        <v>267</v>
      </c>
      <c r="X15" s="462">
        <v>0.33333333333333331</v>
      </c>
      <c r="Y15" s="462">
        <v>0.33333333333333331</v>
      </c>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73"/>
      <c r="BF15" s="173"/>
      <c r="BG15" s="173"/>
      <c r="BH15" s="173"/>
      <c r="BI15" s="173"/>
      <c r="BJ15" s="173"/>
      <c r="BK15" s="173"/>
      <c r="BL15" s="173"/>
      <c r="BM15" s="173"/>
      <c r="BN15" s="173"/>
      <c r="BO15" s="173"/>
      <c r="BP15" s="173"/>
      <c r="BQ15" s="173"/>
      <c r="BR15" s="173"/>
      <c r="BS15" s="173"/>
      <c r="BT15" s="173"/>
      <c r="BU15" s="173"/>
      <c r="BV15" s="173"/>
      <c r="BW15" s="173"/>
      <c r="BX15" s="173"/>
      <c r="BY15" s="173"/>
      <c r="BZ15" s="173"/>
      <c r="CA15" s="173"/>
      <c r="CB15" s="173"/>
      <c r="CC15" s="173"/>
      <c r="CD15" s="173"/>
      <c r="CE15" s="173"/>
      <c r="CF15" s="173"/>
      <c r="CG15" s="173"/>
      <c r="CH15" s="173"/>
      <c r="CI15" s="173"/>
      <c r="CJ15" s="173"/>
      <c r="CK15" s="173"/>
      <c r="CL15" s="173"/>
      <c r="CM15" s="173"/>
      <c r="CN15" s="173"/>
      <c r="CO15" s="173"/>
      <c r="CP15" s="173"/>
      <c r="CQ15" s="173"/>
      <c r="CR15" s="173"/>
      <c r="CS15" s="173"/>
      <c r="CT15" s="173"/>
    </row>
    <row r="16" spans="1:107" x14ac:dyDescent="0.25">
      <c r="A16" s="167">
        <f>IF(LEN(Projects!A12)&gt;0,Projects!A12,"")</f>
        <v>10</v>
      </c>
      <c r="B16" s="101" t="str">
        <f>IF(ISNA(VLOOKUP(A16,Projects!A:B,2,FALSE)), "",VLOOKUP(A16,Projects!A:B,2,FALSE))</f>
        <v>Project 10</v>
      </c>
      <c r="C16" s="168">
        <f t="shared" si="4"/>
        <v>3</v>
      </c>
      <c r="D16" s="168">
        <f t="shared" si="5"/>
        <v>3</v>
      </c>
      <c r="E16" s="168">
        <f t="shared" si="6"/>
        <v>0</v>
      </c>
      <c r="F16" s="168">
        <f t="shared" si="7"/>
        <v>3</v>
      </c>
      <c r="G16" s="169">
        <f t="shared" si="8"/>
        <v>0</v>
      </c>
      <c r="H16" s="169">
        <f t="shared" si="9"/>
        <v>0</v>
      </c>
      <c r="I16" s="170">
        <f t="shared" si="10"/>
        <v>6</v>
      </c>
      <c r="J16" s="168">
        <v>2</v>
      </c>
      <c r="K16" s="168">
        <v>2</v>
      </c>
      <c r="L16" s="168">
        <v>1</v>
      </c>
      <c r="M16" s="168">
        <v>1</v>
      </c>
      <c r="N16" s="171">
        <v>1</v>
      </c>
      <c r="O16" s="171">
        <v>6</v>
      </c>
      <c r="P16" s="171">
        <v>2</v>
      </c>
      <c r="Q16" s="171">
        <v>4</v>
      </c>
      <c r="R16" s="172"/>
      <c r="S16" s="462" t="s">
        <v>267</v>
      </c>
      <c r="T16" s="462" t="s">
        <v>267</v>
      </c>
      <c r="U16" s="462">
        <v>0.33333333333333331</v>
      </c>
      <c r="V16" s="462" t="s">
        <v>267</v>
      </c>
      <c r="W16" s="462">
        <v>0.33333333333333331</v>
      </c>
      <c r="X16" s="462" t="s">
        <v>267</v>
      </c>
      <c r="Y16" s="462">
        <v>0.33333333333333331</v>
      </c>
      <c r="Z16" s="173"/>
      <c r="AA16" s="173"/>
      <c r="AB16" s="173"/>
      <c r="AC16" s="173"/>
      <c r="AD16" s="173"/>
      <c r="AE16" s="173"/>
      <c r="AF16" s="173"/>
      <c r="AG16" s="173"/>
      <c r="AH16" s="173"/>
      <c r="AI16" s="173"/>
      <c r="AJ16" s="173"/>
      <c r="AK16" s="173"/>
      <c r="AL16" s="173"/>
      <c r="AM16" s="173"/>
      <c r="AN16" s="173"/>
      <c r="AO16" s="173"/>
      <c r="AP16" s="173"/>
      <c r="AQ16" s="173"/>
      <c r="AR16" s="173"/>
      <c r="AS16" s="173"/>
      <c r="AT16" s="173"/>
      <c r="AU16" s="173"/>
      <c r="AV16" s="173"/>
      <c r="AW16" s="173"/>
      <c r="AX16" s="173"/>
      <c r="AY16" s="173"/>
      <c r="AZ16" s="173"/>
      <c r="BA16" s="173"/>
      <c r="BB16" s="173"/>
      <c r="BC16" s="173"/>
      <c r="BD16" s="173"/>
      <c r="BE16" s="173"/>
      <c r="BF16" s="173"/>
      <c r="BG16" s="173"/>
      <c r="BH16" s="173"/>
      <c r="BI16" s="173"/>
      <c r="BJ16" s="173"/>
      <c r="BK16" s="173"/>
      <c r="BL16" s="173"/>
      <c r="BM16" s="173"/>
      <c r="BN16" s="173"/>
      <c r="BO16" s="173"/>
      <c r="BP16" s="173"/>
      <c r="BQ16" s="173"/>
      <c r="BR16" s="173"/>
      <c r="BS16" s="173"/>
      <c r="BT16" s="173"/>
      <c r="BU16" s="173"/>
      <c r="BV16" s="173"/>
      <c r="BW16" s="173"/>
      <c r="BX16" s="173"/>
      <c r="BY16" s="173"/>
      <c r="BZ16" s="173"/>
      <c r="CA16" s="173"/>
      <c r="CB16" s="173"/>
      <c r="CC16" s="173"/>
      <c r="CD16" s="173"/>
      <c r="CE16" s="173"/>
      <c r="CF16" s="173"/>
      <c r="CG16" s="173"/>
      <c r="CH16" s="173"/>
      <c r="CI16" s="173"/>
      <c r="CJ16" s="173"/>
      <c r="CK16" s="173"/>
      <c r="CL16" s="173"/>
      <c r="CM16" s="173"/>
      <c r="CN16" s="173"/>
      <c r="CO16" s="173"/>
      <c r="CP16" s="173"/>
      <c r="CQ16" s="173"/>
      <c r="CR16" s="173"/>
      <c r="CS16" s="173"/>
      <c r="CT16" s="173"/>
    </row>
    <row r="17" spans="19:98" x14ac:dyDescent="0.25">
      <c r="S17" s="173"/>
      <c r="T17" s="173"/>
      <c r="U17" s="173"/>
      <c r="V17" s="173"/>
      <c r="W17" s="173"/>
      <c r="X17" s="173"/>
      <c r="Y17" s="173"/>
      <c r="Z17" s="173"/>
      <c r="AA17" s="173"/>
      <c r="AB17" s="173"/>
      <c r="AC17" s="173"/>
      <c r="AD17" s="173"/>
      <c r="AE17" s="173"/>
      <c r="AF17" s="173"/>
      <c r="AG17" s="173"/>
      <c r="AH17" s="173"/>
      <c r="AI17" s="173"/>
      <c r="AJ17" s="173"/>
      <c r="AK17" s="173"/>
      <c r="AL17" s="173"/>
      <c r="AM17" s="173"/>
      <c r="AN17" s="173"/>
      <c r="AO17" s="173"/>
      <c r="AP17" s="173"/>
      <c r="AQ17" s="173"/>
      <c r="AR17" s="173"/>
      <c r="AS17" s="173"/>
      <c r="AT17" s="173"/>
      <c r="AU17" s="173"/>
      <c r="AV17" s="173"/>
      <c r="AW17" s="173"/>
      <c r="AX17" s="173"/>
      <c r="AY17" s="173"/>
      <c r="AZ17" s="173"/>
      <c r="BA17" s="173"/>
      <c r="BB17" s="173"/>
      <c r="BC17" s="173"/>
      <c r="BD17" s="173"/>
      <c r="BE17" s="173"/>
      <c r="BF17" s="173"/>
      <c r="BG17" s="173"/>
      <c r="BH17" s="173"/>
      <c r="BI17" s="173"/>
      <c r="BJ17" s="173"/>
      <c r="BK17" s="173"/>
      <c r="BL17" s="173"/>
      <c r="BM17" s="173"/>
      <c r="BN17" s="173"/>
      <c r="BO17" s="173"/>
      <c r="BP17" s="173"/>
      <c r="BQ17" s="173"/>
      <c r="BR17" s="173"/>
      <c r="BS17" s="173"/>
      <c r="BT17" s="173"/>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173"/>
      <c r="CS17" s="173"/>
      <c r="CT17" s="173"/>
    </row>
    <row r="18" spans="19:98" x14ac:dyDescent="0.25">
      <c r="S18" s="173"/>
      <c r="T18" s="173"/>
      <c r="U18" s="173"/>
      <c r="V18" s="173"/>
      <c r="W18" s="173"/>
      <c r="X18" s="173"/>
      <c r="Y18" s="173"/>
      <c r="Z18" s="173"/>
      <c r="AA18" s="173"/>
      <c r="AB18" s="173"/>
      <c r="AC18" s="173"/>
      <c r="AD18" s="173"/>
      <c r="AE18" s="173"/>
      <c r="AF18" s="173"/>
      <c r="AG18" s="173"/>
      <c r="AH18" s="173"/>
      <c r="AI18" s="173"/>
      <c r="AJ18" s="173"/>
      <c r="AK18" s="173"/>
      <c r="AL18" s="173"/>
      <c r="AM18" s="173"/>
      <c r="AN18" s="173"/>
      <c r="AO18" s="173"/>
      <c r="AP18" s="173"/>
      <c r="AQ18" s="173"/>
      <c r="AR18" s="173"/>
      <c r="AS18" s="173"/>
      <c r="AT18" s="173"/>
      <c r="AU18" s="173"/>
      <c r="AV18" s="173"/>
      <c r="AW18" s="173"/>
      <c r="AX18" s="173"/>
      <c r="AY18" s="173"/>
      <c r="AZ18" s="173"/>
      <c r="BA18" s="173"/>
      <c r="BB18" s="173"/>
      <c r="BC18" s="173"/>
      <c r="BD18" s="173"/>
      <c r="BE18" s="173"/>
      <c r="BF18" s="173"/>
      <c r="BG18" s="173"/>
      <c r="BH18" s="173"/>
      <c r="BI18" s="173"/>
      <c r="BJ18" s="173"/>
      <c r="BK18" s="173"/>
      <c r="BL18" s="173"/>
      <c r="BM18" s="173"/>
      <c r="BN18" s="173"/>
      <c r="BO18" s="173"/>
      <c r="BP18" s="173"/>
      <c r="BQ18" s="173"/>
      <c r="BR18" s="173"/>
      <c r="BS18" s="173"/>
      <c r="BT18" s="173"/>
      <c r="BU18" s="173"/>
      <c r="BV18" s="173"/>
      <c r="BW18" s="173"/>
      <c r="BX18" s="173"/>
      <c r="BY18" s="173"/>
      <c r="BZ18" s="173"/>
      <c r="CA18" s="173"/>
      <c r="CB18" s="173"/>
      <c r="CC18" s="173"/>
      <c r="CD18" s="173"/>
      <c r="CE18" s="173"/>
      <c r="CF18" s="173"/>
      <c r="CG18" s="173"/>
      <c r="CH18" s="173"/>
      <c r="CI18" s="173"/>
      <c r="CJ18" s="173"/>
      <c r="CK18" s="173"/>
      <c r="CL18" s="173"/>
      <c r="CM18" s="173"/>
      <c r="CN18" s="173"/>
      <c r="CO18" s="173"/>
      <c r="CP18" s="173"/>
      <c r="CQ18" s="173"/>
      <c r="CR18" s="173"/>
      <c r="CS18" s="173"/>
      <c r="CT18" s="173"/>
    </row>
    <row r="19" spans="19:98" x14ac:dyDescent="0.25">
      <c r="S19" s="173"/>
      <c r="T19" s="173"/>
      <c r="U19" s="173"/>
      <c r="V19" s="173"/>
      <c r="W19" s="173"/>
      <c r="X19" s="173"/>
      <c r="Y19" s="173"/>
      <c r="Z19" s="173"/>
      <c r="AA19" s="173"/>
      <c r="AB19" s="173"/>
      <c r="AC19" s="173"/>
      <c r="AD19" s="173"/>
      <c r="AE19" s="173"/>
      <c r="AF19" s="173"/>
      <c r="AG19" s="173"/>
      <c r="AH19" s="173"/>
      <c r="AI19" s="173"/>
      <c r="AJ19" s="173"/>
      <c r="AK19" s="173"/>
      <c r="AL19" s="173"/>
      <c r="AM19" s="173"/>
      <c r="AN19" s="173"/>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c r="CS19" s="173"/>
      <c r="CT19" s="173"/>
    </row>
    <row r="20" spans="19:98" x14ac:dyDescent="0.25">
      <c r="S20" s="173"/>
      <c r="T20" s="173"/>
      <c r="U20" s="173"/>
      <c r="V20" s="173"/>
      <c r="W20" s="173"/>
      <c r="X20" s="173"/>
      <c r="Y20" s="173"/>
      <c r="Z20" s="173"/>
      <c r="AA20" s="173"/>
      <c r="AB20" s="173"/>
      <c r="AC20" s="173"/>
      <c r="AD20" s="173"/>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3"/>
      <c r="CS20" s="173"/>
      <c r="CT20" s="173"/>
    </row>
    <row r="21" spans="19:98" x14ac:dyDescent="0.25">
      <c r="S21" s="173"/>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3"/>
      <c r="CS21" s="173"/>
      <c r="CT21" s="173"/>
    </row>
    <row r="22" spans="19:98" x14ac:dyDescent="0.25">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173"/>
      <c r="BD22" s="173"/>
      <c r="BE22" s="173"/>
      <c r="BF22" s="173"/>
      <c r="BG22" s="173"/>
      <c r="BH22" s="173"/>
      <c r="BI22" s="173"/>
      <c r="BJ22" s="173"/>
      <c r="BK22" s="173"/>
      <c r="BL22" s="173"/>
      <c r="BM22" s="173"/>
      <c r="BN22" s="173"/>
      <c r="BO22" s="173"/>
      <c r="BP22" s="173"/>
      <c r="BQ22" s="173"/>
      <c r="BR22" s="173"/>
      <c r="BS22" s="173"/>
      <c r="BT22" s="173"/>
      <c r="BU22" s="173"/>
      <c r="BV22" s="173"/>
      <c r="BW22" s="173"/>
      <c r="BX22" s="173"/>
      <c r="BY22" s="173"/>
      <c r="BZ22" s="173"/>
      <c r="CA22" s="173"/>
      <c r="CB22" s="173"/>
      <c r="CC22" s="173"/>
      <c r="CD22" s="173"/>
      <c r="CE22" s="173"/>
      <c r="CF22" s="173"/>
      <c r="CG22" s="173"/>
      <c r="CH22" s="173"/>
      <c r="CI22" s="173"/>
      <c r="CJ22" s="173"/>
      <c r="CK22" s="173"/>
      <c r="CL22" s="173"/>
      <c r="CM22" s="173"/>
      <c r="CN22" s="173"/>
      <c r="CO22" s="173"/>
      <c r="CP22" s="173"/>
      <c r="CQ22" s="173"/>
      <c r="CR22" s="173"/>
      <c r="CS22" s="173"/>
      <c r="CT22" s="173"/>
    </row>
    <row r="23" spans="19:98" x14ac:dyDescent="0.25">
      <c r="S23" s="173"/>
      <c r="T23" s="173"/>
      <c r="U23" s="173"/>
      <c r="V23" s="173"/>
      <c r="W23" s="173"/>
      <c r="X23" s="173"/>
      <c r="Y23" s="173"/>
      <c r="Z23" s="173"/>
      <c r="AA23" s="173"/>
      <c r="AB23" s="173"/>
      <c r="AC23" s="173"/>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173"/>
      <c r="CL23" s="173"/>
      <c r="CM23" s="173"/>
      <c r="CN23" s="173"/>
      <c r="CO23" s="173"/>
      <c r="CP23" s="173"/>
      <c r="CQ23" s="173"/>
      <c r="CR23" s="173"/>
      <c r="CS23" s="173"/>
      <c r="CT23" s="173"/>
    </row>
    <row r="24" spans="19:98" x14ac:dyDescent="0.25">
      <c r="S24" s="173"/>
      <c r="T24" s="173"/>
      <c r="U24" s="173"/>
      <c r="V24" s="173"/>
      <c r="W24" s="173"/>
      <c r="X24" s="173"/>
      <c r="Y24" s="173"/>
      <c r="Z24" s="173"/>
      <c r="AA24" s="173"/>
      <c r="AB24" s="173"/>
      <c r="AC24" s="173"/>
      <c r="AD24" s="173"/>
      <c r="AE24" s="173"/>
      <c r="AF24" s="173"/>
      <c r="AG24" s="173"/>
      <c r="AH24" s="173"/>
      <c r="AI24" s="173"/>
      <c r="AJ24" s="173"/>
      <c r="AK24" s="173"/>
      <c r="AL24" s="173"/>
      <c r="AM24" s="173"/>
      <c r="AN24" s="173"/>
      <c r="AO24" s="173"/>
      <c r="AP24" s="173"/>
      <c r="AQ24" s="173"/>
      <c r="AR24" s="173"/>
      <c r="AS24" s="173"/>
      <c r="AT24" s="173"/>
      <c r="AU24" s="173"/>
      <c r="AV24" s="173"/>
      <c r="AW24" s="173"/>
      <c r="AX24" s="173"/>
      <c r="AY24" s="173"/>
      <c r="AZ24" s="173"/>
      <c r="BA24" s="173"/>
      <c r="BB24" s="173"/>
      <c r="BC24" s="173"/>
      <c r="BD24" s="173"/>
      <c r="BE24" s="173"/>
      <c r="BF24" s="173"/>
      <c r="BG24" s="173"/>
      <c r="BH24" s="173"/>
      <c r="BI24" s="173"/>
      <c r="BJ24" s="173"/>
      <c r="BK24" s="173"/>
      <c r="BL24" s="173"/>
      <c r="BM24" s="173"/>
      <c r="BN24" s="173"/>
      <c r="BO24" s="173"/>
      <c r="BP24" s="173"/>
      <c r="BQ24" s="173"/>
      <c r="BR24" s="173"/>
      <c r="BS24" s="173"/>
      <c r="BT24" s="173"/>
      <c r="BU24" s="173"/>
      <c r="BV24" s="173"/>
      <c r="BW24" s="173"/>
      <c r="BX24" s="173"/>
      <c r="BY24" s="173"/>
      <c r="BZ24" s="173"/>
      <c r="CA24" s="173"/>
      <c r="CB24" s="173"/>
      <c r="CC24" s="173"/>
      <c r="CD24" s="173"/>
      <c r="CE24" s="173"/>
      <c r="CF24" s="173"/>
      <c r="CG24" s="173"/>
      <c r="CH24" s="173"/>
      <c r="CI24" s="173"/>
      <c r="CJ24" s="173"/>
      <c r="CK24" s="173"/>
      <c r="CL24" s="173"/>
      <c r="CM24" s="173"/>
      <c r="CN24" s="173"/>
      <c r="CO24" s="173"/>
      <c r="CP24" s="173"/>
      <c r="CQ24" s="173"/>
      <c r="CR24" s="173"/>
      <c r="CS24" s="173"/>
      <c r="CT24" s="173"/>
    </row>
    <row r="25" spans="19:98" x14ac:dyDescent="0.25">
      <c r="S25" s="173"/>
      <c r="T25" s="173"/>
      <c r="U25" s="173"/>
      <c r="V25" s="173"/>
      <c r="W25" s="173"/>
      <c r="X25" s="173"/>
      <c r="Y25" s="173"/>
      <c r="Z25" s="173"/>
      <c r="AA25" s="173"/>
      <c r="AB25" s="173"/>
      <c r="AC25" s="173"/>
      <c r="AD25" s="173"/>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c r="CS25" s="173"/>
      <c r="CT25" s="173"/>
    </row>
    <row r="26" spans="19:98" x14ac:dyDescent="0.25">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c r="CS26" s="173"/>
      <c r="CT26" s="173"/>
    </row>
    <row r="27" spans="19:98" x14ac:dyDescent="0.25">
      <c r="S27" s="173"/>
      <c r="T27" s="173"/>
      <c r="U27" s="173"/>
      <c r="V27" s="173"/>
      <c r="W27" s="173"/>
      <c r="X27" s="173"/>
      <c r="Y27" s="173"/>
      <c r="Z27" s="173"/>
      <c r="AA27" s="173"/>
      <c r="AB27" s="173"/>
      <c r="AC27" s="173"/>
      <c r="AD27" s="173"/>
      <c r="AE27" s="173"/>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c r="CS27" s="173"/>
      <c r="CT27" s="173"/>
    </row>
    <row r="28" spans="19:98" x14ac:dyDescent="0.25">
      <c r="S28" s="173"/>
      <c r="T28" s="173"/>
      <c r="U28" s="173"/>
      <c r="V28" s="173"/>
      <c r="W28" s="173"/>
      <c r="X28" s="173"/>
      <c r="Y28" s="173"/>
      <c r="Z28" s="173"/>
      <c r="AA28" s="173"/>
      <c r="AB28" s="173"/>
      <c r="AC28" s="173"/>
      <c r="AD28" s="173"/>
      <c r="AE28" s="173"/>
      <c r="AF28" s="173"/>
      <c r="AG28" s="173"/>
      <c r="AH28" s="173"/>
      <c r="AI28" s="173"/>
      <c r="AJ28" s="173"/>
      <c r="AK28" s="173"/>
      <c r="AL28" s="173"/>
      <c r="AM28" s="173"/>
      <c r="AN28" s="173"/>
      <c r="AO28" s="173"/>
      <c r="AP28" s="173"/>
      <c r="AQ28" s="173"/>
      <c r="AR28" s="173"/>
      <c r="AS28" s="173"/>
      <c r="AT28" s="173"/>
      <c r="AU28" s="173"/>
      <c r="AV28" s="173"/>
      <c r="AW28" s="173"/>
      <c r="AX28" s="173"/>
      <c r="AY28" s="173"/>
      <c r="AZ28" s="173"/>
      <c r="BA28" s="173"/>
      <c r="BB28" s="173"/>
      <c r="BC28" s="173"/>
      <c r="BD28" s="173"/>
      <c r="BE28" s="173"/>
      <c r="BF28" s="173"/>
      <c r="BG28" s="173"/>
      <c r="BH28" s="173"/>
      <c r="BI28" s="173"/>
      <c r="BJ28" s="173"/>
      <c r="BK28" s="173"/>
      <c r="BL28" s="173"/>
      <c r="BM28" s="173"/>
      <c r="BN28" s="173"/>
      <c r="BO28" s="173"/>
      <c r="BP28" s="173"/>
      <c r="BQ28" s="173"/>
      <c r="BR28" s="173"/>
      <c r="BS28" s="173"/>
      <c r="BT28" s="173"/>
      <c r="BU28" s="173"/>
      <c r="BV28" s="173"/>
      <c r="BW28" s="173"/>
      <c r="BX28" s="173"/>
      <c r="BY28" s="173"/>
      <c r="BZ28" s="173"/>
      <c r="CA28" s="173"/>
      <c r="CB28" s="173"/>
      <c r="CC28" s="173"/>
      <c r="CD28" s="173"/>
      <c r="CE28" s="173"/>
      <c r="CF28" s="173"/>
      <c r="CG28" s="173"/>
      <c r="CH28" s="173"/>
      <c r="CI28" s="173"/>
      <c r="CJ28" s="173"/>
      <c r="CK28" s="173"/>
      <c r="CL28" s="173"/>
      <c r="CM28" s="173"/>
      <c r="CN28" s="173"/>
      <c r="CO28" s="173"/>
      <c r="CP28" s="173"/>
      <c r="CQ28" s="173"/>
      <c r="CR28" s="173"/>
      <c r="CS28" s="173"/>
      <c r="CT28" s="173"/>
    </row>
    <row r="29" spans="19:98" x14ac:dyDescent="0.25">
      <c r="S29" s="173"/>
      <c r="T29" s="173"/>
      <c r="U29" s="173"/>
      <c r="V29" s="173"/>
      <c r="W29" s="173"/>
      <c r="X29" s="173"/>
      <c r="Y29" s="173"/>
      <c r="Z29" s="173"/>
      <c r="AA29" s="173"/>
      <c r="AB29" s="173"/>
      <c r="AC29" s="173"/>
      <c r="AD29" s="173"/>
      <c r="AE29" s="173"/>
      <c r="AF29" s="173"/>
      <c r="AG29" s="173"/>
      <c r="AH29" s="173"/>
      <c r="AI29" s="173"/>
      <c r="AJ29" s="173"/>
      <c r="AK29" s="173"/>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c r="CS29" s="173"/>
      <c r="CT29" s="173"/>
    </row>
    <row r="30" spans="19:98" x14ac:dyDescent="0.25">
      <c r="S30" s="173"/>
      <c r="T30" s="173"/>
      <c r="U30" s="173"/>
      <c r="V30" s="173"/>
      <c r="W30" s="173"/>
      <c r="X30" s="173"/>
      <c r="Y30" s="173"/>
      <c r="Z30" s="173"/>
      <c r="AA30" s="173"/>
      <c r="AB30" s="173"/>
      <c r="AC30" s="173"/>
      <c r="AD30" s="173"/>
      <c r="AE30" s="173"/>
      <c r="AF30" s="173"/>
      <c r="AG30" s="173"/>
      <c r="AH30" s="173"/>
      <c r="AI30" s="173"/>
      <c r="AJ30" s="173"/>
      <c r="AK30" s="173"/>
      <c r="AL30" s="173"/>
      <c r="AM30" s="173"/>
      <c r="AN30" s="173"/>
      <c r="AO30" s="173"/>
      <c r="AP30" s="173"/>
      <c r="AQ30" s="173"/>
      <c r="AR30" s="173"/>
      <c r="AS30" s="173"/>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173"/>
      <c r="CD30" s="173"/>
      <c r="CE30" s="173"/>
      <c r="CF30" s="173"/>
      <c r="CG30" s="173"/>
      <c r="CH30" s="173"/>
      <c r="CI30" s="173"/>
      <c r="CJ30" s="173"/>
      <c r="CK30" s="173"/>
      <c r="CL30" s="173"/>
      <c r="CM30" s="173"/>
      <c r="CN30" s="173"/>
      <c r="CO30" s="173"/>
      <c r="CP30" s="173"/>
      <c r="CQ30" s="173"/>
      <c r="CR30" s="173"/>
      <c r="CS30" s="173"/>
      <c r="CT30" s="173"/>
    </row>
    <row r="31" spans="19:98" x14ac:dyDescent="0.25">
      <c r="S31" s="173"/>
      <c r="T31" s="173"/>
      <c r="U31" s="173"/>
      <c r="V31" s="173"/>
      <c r="W31" s="173"/>
      <c r="X31" s="173"/>
      <c r="Y31" s="173"/>
      <c r="Z31" s="173"/>
      <c r="AA31" s="173"/>
      <c r="AB31" s="173"/>
      <c r="AC31" s="173"/>
      <c r="AD31" s="173"/>
      <c r="AE31" s="173"/>
      <c r="AF31" s="173"/>
      <c r="AG31" s="173"/>
      <c r="AH31" s="173"/>
      <c r="AI31" s="173"/>
      <c r="AJ31" s="173"/>
      <c r="AK31" s="173"/>
      <c r="AL31" s="173"/>
      <c r="AM31" s="173"/>
      <c r="AN31" s="173"/>
      <c r="AO31" s="173"/>
      <c r="AP31" s="173"/>
      <c r="AQ31" s="173"/>
      <c r="AR31" s="173"/>
      <c r="AS31" s="173"/>
      <c r="AT31" s="173"/>
      <c r="AU31" s="173"/>
      <c r="AV31" s="173"/>
      <c r="AW31" s="173"/>
      <c r="AX31" s="173"/>
      <c r="AY31" s="173"/>
      <c r="AZ31" s="173"/>
      <c r="BA31" s="173"/>
      <c r="BB31" s="173"/>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c r="CS31" s="173"/>
      <c r="CT31" s="173"/>
    </row>
    <row r="32" spans="19:98" x14ac:dyDescent="0.2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73"/>
      <c r="BF32" s="173"/>
      <c r="BG32" s="173"/>
      <c r="BH32" s="173"/>
      <c r="BI32" s="173"/>
      <c r="BJ32" s="173"/>
      <c r="BK32" s="173"/>
      <c r="BL32" s="173"/>
      <c r="BM32" s="173"/>
      <c r="BN32" s="173"/>
      <c r="BO32" s="173"/>
      <c r="BP32" s="173"/>
      <c r="BQ32" s="173"/>
      <c r="BR32" s="173"/>
      <c r="BS32" s="173"/>
      <c r="BT32" s="173"/>
      <c r="BU32" s="173"/>
      <c r="BV32" s="173"/>
      <c r="BW32" s="173"/>
      <c r="BX32" s="173"/>
      <c r="BY32" s="173"/>
      <c r="BZ32" s="173"/>
      <c r="CA32" s="173"/>
      <c r="CB32" s="173"/>
      <c r="CC32" s="173"/>
      <c r="CD32" s="173"/>
      <c r="CE32" s="173"/>
      <c r="CF32" s="173"/>
      <c r="CG32" s="173"/>
      <c r="CH32" s="173"/>
      <c r="CI32" s="173"/>
      <c r="CJ32" s="173"/>
      <c r="CK32" s="173"/>
      <c r="CL32" s="173"/>
      <c r="CM32" s="173"/>
      <c r="CN32" s="173"/>
      <c r="CO32" s="173"/>
      <c r="CP32" s="173"/>
      <c r="CQ32" s="173"/>
      <c r="CR32" s="173"/>
      <c r="CS32" s="173"/>
      <c r="CT32" s="173"/>
    </row>
    <row r="33" spans="19:98" x14ac:dyDescent="0.25">
      <c r="S33" s="173"/>
      <c r="T33" s="173"/>
      <c r="U33" s="173"/>
      <c r="V33" s="173"/>
      <c r="W33" s="173"/>
      <c r="X33" s="173"/>
      <c r="Y33" s="173"/>
      <c r="Z33" s="173"/>
      <c r="AA33" s="173"/>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173"/>
      <c r="BG33" s="173"/>
      <c r="BH33" s="173"/>
      <c r="BI33" s="173"/>
      <c r="BJ33" s="173"/>
      <c r="BK33" s="173"/>
      <c r="BL33" s="173"/>
      <c r="BM33" s="173"/>
      <c r="BN33" s="173"/>
      <c r="BO33" s="173"/>
      <c r="BP33" s="173"/>
      <c r="BQ33" s="173"/>
      <c r="BR33" s="173"/>
      <c r="BS33" s="173"/>
      <c r="BT33" s="173"/>
      <c r="BU33" s="173"/>
      <c r="BV33" s="173"/>
      <c r="BW33" s="173"/>
      <c r="BX33" s="173"/>
      <c r="BY33" s="173"/>
      <c r="BZ33" s="173"/>
      <c r="CA33" s="173"/>
      <c r="CB33" s="173"/>
      <c r="CC33" s="173"/>
      <c r="CD33" s="173"/>
      <c r="CE33" s="173"/>
      <c r="CF33" s="173"/>
      <c r="CG33" s="173"/>
      <c r="CH33" s="173"/>
      <c r="CI33" s="173"/>
      <c r="CJ33" s="173"/>
      <c r="CK33" s="173"/>
      <c r="CL33" s="173"/>
      <c r="CM33" s="173"/>
      <c r="CN33" s="173"/>
      <c r="CO33" s="173"/>
      <c r="CP33" s="173"/>
      <c r="CQ33" s="173"/>
      <c r="CR33" s="173"/>
      <c r="CS33" s="173"/>
      <c r="CT33" s="173"/>
    </row>
    <row r="34" spans="19:98" x14ac:dyDescent="0.25">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173"/>
      <c r="BF34" s="173"/>
      <c r="BG34" s="173"/>
      <c r="BH34" s="173"/>
      <c r="BI34" s="173"/>
      <c r="BJ34" s="173"/>
      <c r="BK34" s="173"/>
      <c r="BL34" s="173"/>
      <c r="BM34" s="173"/>
      <c r="BN34" s="173"/>
      <c r="BO34" s="173"/>
      <c r="BP34" s="173"/>
      <c r="BQ34" s="173"/>
      <c r="BR34" s="173"/>
      <c r="BS34" s="173"/>
      <c r="BT34" s="173"/>
      <c r="BU34" s="173"/>
      <c r="BV34" s="173"/>
      <c r="BW34" s="173"/>
      <c r="BX34" s="173"/>
      <c r="BY34" s="173"/>
      <c r="BZ34" s="173"/>
      <c r="CA34" s="173"/>
      <c r="CB34" s="173"/>
      <c r="CC34" s="173"/>
      <c r="CD34" s="173"/>
      <c r="CE34" s="173"/>
      <c r="CF34" s="173"/>
      <c r="CG34" s="173"/>
      <c r="CH34" s="173"/>
      <c r="CI34" s="173"/>
      <c r="CJ34" s="173"/>
      <c r="CK34" s="173"/>
      <c r="CL34" s="173"/>
      <c r="CM34" s="173"/>
      <c r="CN34" s="173"/>
      <c r="CO34" s="173"/>
      <c r="CP34" s="173"/>
      <c r="CQ34" s="173"/>
      <c r="CR34" s="173"/>
      <c r="CS34" s="173"/>
      <c r="CT34" s="173"/>
    </row>
    <row r="35" spans="19:98" x14ac:dyDescent="0.25">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c r="BD35" s="173"/>
      <c r="BE35" s="173"/>
      <c r="BF35" s="173"/>
      <c r="BG35" s="173"/>
      <c r="BH35" s="173"/>
      <c r="BI35" s="173"/>
      <c r="BJ35" s="173"/>
      <c r="BK35" s="173"/>
      <c r="BL35" s="173"/>
      <c r="BM35" s="173"/>
      <c r="BN35" s="173"/>
      <c r="BO35" s="173"/>
      <c r="BP35" s="173"/>
      <c r="BQ35" s="173"/>
      <c r="BR35" s="173"/>
      <c r="BS35" s="173"/>
      <c r="BT35" s="173"/>
      <c r="BU35" s="173"/>
      <c r="BV35" s="173"/>
      <c r="BW35" s="173"/>
      <c r="BX35" s="173"/>
      <c r="BY35" s="173"/>
      <c r="BZ35" s="173"/>
      <c r="CA35" s="173"/>
      <c r="CB35" s="173"/>
      <c r="CC35" s="173"/>
      <c r="CD35" s="173"/>
      <c r="CE35" s="173"/>
      <c r="CF35" s="173"/>
      <c r="CG35" s="173"/>
      <c r="CH35" s="173"/>
      <c r="CI35" s="173"/>
      <c r="CJ35" s="173"/>
      <c r="CK35" s="173"/>
      <c r="CL35" s="173"/>
      <c r="CM35" s="173"/>
      <c r="CN35" s="173"/>
      <c r="CO35" s="173"/>
      <c r="CP35" s="173"/>
      <c r="CQ35" s="173"/>
      <c r="CR35" s="173"/>
      <c r="CS35" s="173"/>
      <c r="CT35" s="173"/>
    </row>
    <row r="36" spans="19:98" x14ac:dyDescent="0.25">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c r="CS36" s="173"/>
      <c r="CT36" s="173"/>
    </row>
    <row r="37" spans="19:98" x14ac:dyDescent="0.25">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c r="CS37" s="173"/>
      <c r="CT37" s="173"/>
    </row>
    <row r="38" spans="19:98" x14ac:dyDescent="0.25">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3"/>
      <c r="AX38" s="173"/>
      <c r="AY38" s="173"/>
      <c r="AZ38" s="173"/>
      <c r="BA38" s="173"/>
      <c r="BB38" s="173"/>
      <c r="BC38" s="173"/>
      <c r="BD38" s="173"/>
      <c r="BE38" s="173"/>
      <c r="BF38" s="173"/>
      <c r="BG38" s="173"/>
      <c r="BH38" s="173"/>
      <c r="BI38" s="173"/>
      <c r="BJ38" s="173"/>
      <c r="BK38" s="173"/>
      <c r="BL38" s="173"/>
      <c r="BM38" s="173"/>
      <c r="BN38" s="173"/>
      <c r="BO38" s="173"/>
      <c r="BP38" s="173"/>
      <c r="BQ38" s="173"/>
      <c r="BR38" s="173"/>
      <c r="BS38" s="173"/>
      <c r="BT38" s="173"/>
      <c r="BU38" s="173"/>
      <c r="BV38" s="173"/>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173"/>
      <c r="CS38" s="173"/>
      <c r="CT38" s="173"/>
    </row>
    <row r="39" spans="19:98" x14ac:dyDescent="0.25">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73"/>
      <c r="BF39" s="173"/>
      <c r="BG39" s="173"/>
      <c r="BH39" s="173"/>
      <c r="BI39" s="173"/>
      <c r="BJ39" s="173"/>
      <c r="BK39" s="173"/>
      <c r="BL39" s="173"/>
      <c r="BM39" s="173"/>
      <c r="BN39" s="173"/>
      <c r="BO39" s="173"/>
      <c r="BP39" s="173"/>
      <c r="BQ39" s="173"/>
      <c r="BR39" s="173"/>
      <c r="BS39" s="173"/>
      <c r="BT39" s="173"/>
      <c r="BU39" s="173"/>
      <c r="BV39" s="173"/>
      <c r="BW39" s="173"/>
      <c r="BX39" s="173"/>
      <c r="BY39" s="173"/>
      <c r="BZ39" s="173"/>
      <c r="CA39" s="173"/>
      <c r="CB39" s="173"/>
      <c r="CC39" s="173"/>
      <c r="CD39" s="173"/>
      <c r="CE39" s="173"/>
      <c r="CF39" s="173"/>
      <c r="CG39" s="173"/>
      <c r="CH39" s="173"/>
      <c r="CI39" s="173"/>
      <c r="CJ39" s="173"/>
      <c r="CK39" s="173"/>
      <c r="CL39" s="173"/>
      <c r="CM39" s="173"/>
      <c r="CN39" s="173"/>
      <c r="CO39" s="173"/>
      <c r="CP39" s="173"/>
      <c r="CQ39" s="173"/>
      <c r="CR39" s="173"/>
      <c r="CS39" s="173"/>
      <c r="CT39" s="173"/>
    </row>
    <row r="40" spans="19:98" x14ac:dyDescent="0.25">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c r="CS40" s="173"/>
      <c r="CT40" s="173"/>
    </row>
    <row r="41" spans="19:98" x14ac:dyDescent="0.25">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73"/>
      <c r="BF41" s="173"/>
      <c r="BG41" s="173"/>
      <c r="BH41" s="173"/>
      <c r="BI41" s="173"/>
      <c r="BJ41" s="173"/>
      <c r="BK41" s="173"/>
      <c r="BL41" s="173"/>
      <c r="BM41" s="173"/>
      <c r="BN41" s="173"/>
      <c r="BO41" s="173"/>
      <c r="BP41" s="173"/>
      <c r="BQ41" s="173"/>
      <c r="BR41" s="173"/>
      <c r="BS41" s="173"/>
      <c r="BT41" s="173"/>
      <c r="BU41" s="173"/>
      <c r="BV41" s="173"/>
      <c r="BW41" s="173"/>
      <c r="BX41" s="173"/>
      <c r="BY41" s="173"/>
      <c r="BZ41" s="173"/>
      <c r="CA41" s="173"/>
      <c r="CB41" s="173"/>
      <c r="CC41" s="173"/>
      <c r="CD41" s="173"/>
      <c r="CE41" s="173"/>
      <c r="CF41" s="173"/>
      <c r="CG41" s="173"/>
      <c r="CH41" s="173"/>
      <c r="CI41" s="173"/>
      <c r="CJ41" s="173"/>
      <c r="CK41" s="173"/>
      <c r="CL41" s="173"/>
      <c r="CM41" s="173"/>
      <c r="CN41" s="173"/>
      <c r="CO41" s="173"/>
      <c r="CP41" s="173"/>
      <c r="CQ41" s="173"/>
      <c r="CR41" s="173"/>
      <c r="CS41" s="173"/>
      <c r="CT41" s="173"/>
    </row>
    <row r="42" spans="19:98" x14ac:dyDescent="0.25">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173"/>
      <c r="BA42" s="173"/>
      <c r="BB42" s="173"/>
      <c r="BC42" s="173"/>
      <c r="BD42" s="173"/>
      <c r="BE42" s="173"/>
      <c r="BF42" s="173"/>
      <c r="BG42" s="173"/>
      <c r="BH42" s="173"/>
      <c r="BI42" s="173"/>
      <c r="BJ42" s="173"/>
      <c r="BK42" s="173"/>
      <c r="BL42" s="173"/>
      <c r="BM42" s="173"/>
      <c r="BN42" s="173"/>
      <c r="BO42" s="173"/>
      <c r="BP42" s="173"/>
      <c r="BQ42" s="173"/>
      <c r="BR42" s="173"/>
      <c r="BS42" s="173"/>
      <c r="BT42" s="173"/>
      <c r="BU42" s="173"/>
      <c r="BV42" s="173"/>
      <c r="BW42" s="173"/>
      <c r="BX42" s="173"/>
      <c r="BY42" s="173"/>
      <c r="BZ42" s="173"/>
      <c r="CA42" s="173"/>
      <c r="CB42" s="173"/>
      <c r="CC42" s="173"/>
      <c r="CD42" s="173"/>
      <c r="CE42" s="173"/>
      <c r="CF42" s="173"/>
      <c r="CG42" s="173"/>
      <c r="CH42" s="173"/>
      <c r="CI42" s="173"/>
      <c r="CJ42" s="173"/>
      <c r="CK42" s="173"/>
      <c r="CL42" s="173"/>
      <c r="CM42" s="173"/>
      <c r="CN42" s="173"/>
      <c r="CO42" s="173"/>
      <c r="CP42" s="173"/>
      <c r="CQ42" s="173"/>
      <c r="CR42" s="173"/>
      <c r="CS42" s="173"/>
      <c r="CT42" s="173"/>
    </row>
    <row r="43" spans="19:98" x14ac:dyDescent="0.25">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c r="CS43" s="173"/>
      <c r="CT43" s="173"/>
    </row>
    <row r="44" spans="19:98" x14ac:dyDescent="0.25">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73"/>
      <c r="BF44" s="173"/>
      <c r="BG44" s="173"/>
      <c r="BH44" s="173"/>
      <c r="BI44" s="173"/>
      <c r="BJ44" s="173"/>
      <c r="BK44" s="173"/>
      <c r="BL44" s="173"/>
      <c r="BM44" s="173"/>
      <c r="BN44" s="173"/>
      <c r="BO44" s="173"/>
      <c r="BP44" s="173"/>
      <c r="BQ44" s="173"/>
      <c r="BR44" s="173"/>
      <c r="BS44" s="173"/>
      <c r="BT44" s="173"/>
      <c r="BU44" s="173"/>
      <c r="BV44" s="173"/>
      <c r="BW44" s="173"/>
      <c r="BX44" s="173"/>
      <c r="BY44" s="173"/>
      <c r="BZ44" s="173"/>
      <c r="CA44" s="173"/>
      <c r="CB44" s="173"/>
      <c r="CC44" s="173"/>
      <c r="CD44" s="173"/>
      <c r="CE44" s="173"/>
      <c r="CF44" s="173"/>
      <c r="CG44" s="173"/>
      <c r="CH44" s="173"/>
      <c r="CI44" s="173"/>
      <c r="CJ44" s="173"/>
      <c r="CK44" s="173"/>
      <c r="CL44" s="173"/>
      <c r="CM44" s="173"/>
      <c r="CN44" s="173"/>
      <c r="CO44" s="173"/>
      <c r="CP44" s="173"/>
      <c r="CQ44" s="173"/>
      <c r="CR44" s="173"/>
      <c r="CS44" s="173"/>
      <c r="CT44" s="173"/>
    </row>
    <row r="45" spans="19:98" x14ac:dyDescent="0.25">
      <c r="S45" s="173"/>
      <c r="T45" s="173"/>
      <c r="U45" s="173"/>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c r="CS45" s="173"/>
      <c r="CT45" s="173"/>
    </row>
    <row r="46" spans="19:98" x14ac:dyDescent="0.25">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3"/>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c r="CS46" s="173"/>
      <c r="CT46" s="173"/>
    </row>
    <row r="47" spans="19:98" x14ac:dyDescent="0.25">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173"/>
      <c r="BB47" s="173"/>
      <c r="BC47" s="173"/>
      <c r="BD47" s="173"/>
      <c r="BE47" s="173"/>
      <c r="BF47" s="173"/>
      <c r="BG47" s="173"/>
      <c r="BH47" s="173"/>
      <c r="BI47" s="173"/>
      <c r="BJ47" s="173"/>
      <c r="BK47" s="173"/>
      <c r="BL47" s="173"/>
      <c r="BM47" s="173"/>
      <c r="BN47" s="173"/>
      <c r="BO47" s="173"/>
      <c r="BP47" s="173"/>
      <c r="BQ47" s="173"/>
      <c r="BR47" s="173"/>
      <c r="BS47" s="173"/>
      <c r="BT47" s="173"/>
      <c r="BU47" s="173"/>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3"/>
      <c r="CS47" s="173"/>
      <c r="CT47" s="173"/>
    </row>
    <row r="48" spans="19:98" x14ac:dyDescent="0.25">
      <c r="S48" s="173"/>
      <c r="T48" s="173"/>
      <c r="U48" s="173"/>
      <c r="V48" s="173"/>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73"/>
      <c r="BF48" s="173"/>
      <c r="BG48" s="173"/>
      <c r="BH48" s="173"/>
      <c r="BI48" s="173"/>
      <c r="BJ48" s="173"/>
      <c r="BK48" s="173"/>
      <c r="BL48" s="173"/>
      <c r="BM48" s="173"/>
      <c r="BN48" s="173"/>
      <c r="BO48" s="173"/>
      <c r="BP48" s="173"/>
      <c r="BQ48" s="173"/>
      <c r="BR48" s="173"/>
      <c r="BS48" s="173"/>
      <c r="BT48" s="173"/>
      <c r="BU48" s="173"/>
      <c r="BV48" s="173"/>
      <c r="BW48" s="173"/>
      <c r="BX48" s="173"/>
      <c r="BY48" s="173"/>
      <c r="BZ48" s="173"/>
      <c r="CA48" s="173"/>
      <c r="CB48" s="173"/>
      <c r="CC48" s="173"/>
      <c r="CD48" s="173"/>
      <c r="CE48" s="173"/>
      <c r="CF48" s="173"/>
      <c r="CG48" s="173"/>
      <c r="CH48" s="173"/>
      <c r="CI48" s="173"/>
      <c r="CJ48" s="173"/>
      <c r="CK48" s="173"/>
      <c r="CL48" s="173"/>
      <c r="CM48" s="173"/>
      <c r="CN48" s="173"/>
      <c r="CO48" s="173"/>
      <c r="CP48" s="173"/>
      <c r="CQ48" s="173"/>
      <c r="CR48" s="173"/>
      <c r="CS48" s="173"/>
      <c r="CT48" s="173"/>
    </row>
    <row r="49" spans="19:98" x14ac:dyDescent="0.25">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c r="CS49" s="173"/>
      <c r="CT49" s="173"/>
    </row>
    <row r="50" spans="19:98" x14ac:dyDescent="0.25">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c r="CS50" s="173"/>
      <c r="CT50" s="173"/>
    </row>
    <row r="51" spans="19:98" x14ac:dyDescent="0.25">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73"/>
      <c r="BF51" s="173"/>
      <c r="BG51" s="173"/>
      <c r="BH51" s="173"/>
      <c r="BI51" s="173"/>
      <c r="BJ51" s="173"/>
      <c r="BK51" s="173"/>
      <c r="BL51" s="173"/>
      <c r="BM51" s="173"/>
      <c r="BN51" s="173"/>
      <c r="BO51" s="173"/>
      <c r="BP51" s="173"/>
      <c r="BQ51" s="173"/>
      <c r="BR51" s="173"/>
      <c r="BS51" s="173"/>
      <c r="BT51" s="173"/>
      <c r="BU51" s="173"/>
      <c r="BV51" s="173"/>
      <c r="BW51" s="173"/>
      <c r="BX51" s="173"/>
      <c r="BY51" s="173"/>
      <c r="BZ51" s="173"/>
      <c r="CA51" s="173"/>
      <c r="CB51" s="173"/>
      <c r="CC51" s="173"/>
      <c r="CD51" s="173"/>
      <c r="CE51" s="173"/>
      <c r="CF51" s="173"/>
      <c r="CG51" s="173"/>
      <c r="CH51" s="173"/>
      <c r="CI51" s="173"/>
      <c r="CJ51" s="173"/>
      <c r="CK51" s="173"/>
      <c r="CL51" s="173"/>
      <c r="CM51" s="173"/>
      <c r="CN51" s="173"/>
      <c r="CO51" s="173"/>
      <c r="CP51" s="173"/>
      <c r="CQ51" s="173"/>
      <c r="CR51" s="173"/>
      <c r="CS51" s="173"/>
      <c r="CT51" s="173"/>
    </row>
    <row r="52" spans="19:98" x14ac:dyDescent="0.25">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c r="CS52" s="173"/>
      <c r="CT52" s="173"/>
    </row>
    <row r="53" spans="19:98" x14ac:dyDescent="0.25">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c r="CS53" s="173"/>
      <c r="CT53" s="173"/>
    </row>
    <row r="54" spans="19:98" x14ac:dyDescent="0.25">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73"/>
      <c r="BF54" s="173"/>
      <c r="BG54" s="173"/>
      <c r="BH54" s="173"/>
      <c r="BI54" s="173"/>
      <c r="BJ54" s="173"/>
      <c r="BK54" s="173"/>
      <c r="BL54" s="173"/>
      <c r="BM54" s="173"/>
      <c r="BN54" s="17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c r="CS54" s="173"/>
      <c r="CT54" s="173"/>
    </row>
    <row r="55" spans="19:98" x14ac:dyDescent="0.25">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c r="CS55" s="173"/>
      <c r="CT55" s="173"/>
    </row>
    <row r="56" spans="19:98" x14ac:dyDescent="0.25">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73"/>
      <c r="BF56" s="173"/>
      <c r="BG56" s="173"/>
      <c r="BH56" s="173"/>
      <c r="BI56" s="173"/>
      <c r="BJ56" s="173"/>
      <c r="BK56" s="173"/>
      <c r="BL56" s="173"/>
      <c r="BM56" s="173"/>
      <c r="BN56" s="17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c r="CS56" s="173"/>
      <c r="CT56" s="173"/>
    </row>
    <row r="57" spans="19:98" x14ac:dyDescent="0.25">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c r="CS57" s="173"/>
      <c r="CT57" s="173"/>
    </row>
    <row r="58" spans="19:98" x14ac:dyDescent="0.25">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c r="CS58" s="173"/>
      <c r="CT58" s="173"/>
    </row>
    <row r="59" spans="19:98" x14ac:dyDescent="0.25">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c r="CS59" s="173"/>
      <c r="CT59" s="173"/>
    </row>
    <row r="60" spans="19:98" x14ac:dyDescent="0.25">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c r="CS60" s="173"/>
      <c r="CT60" s="173"/>
    </row>
    <row r="61" spans="19:98" x14ac:dyDescent="0.25">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c r="CS61" s="173"/>
      <c r="CT61" s="173"/>
    </row>
    <row r="62" spans="19:98" x14ac:dyDescent="0.25">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c r="CS62" s="173"/>
      <c r="CT62" s="173"/>
    </row>
    <row r="63" spans="19:98" x14ac:dyDescent="0.25">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c r="CS63" s="173"/>
      <c r="CT63" s="173"/>
    </row>
    <row r="64" spans="19:98" x14ac:dyDescent="0.25">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c r="CS64" s="173"/>
      <c r="CT64" s="173"/>
    </row>
    <row r="65" spans="19:98" x14ac:dyDescent="0.25">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c r="CS65" s="173"/>
      <c r="CT65" s="173"/>
    </row>
    <row r="66" spans="19:98" x14ac:dyDescent="0.25">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c r="CS66" s="173"/>
      <c r="CT66" s="173"/>
    </row>
    <row r="67" spans="19:98" x14ac:dyDescent="0.25">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c r="CS67" s="173"/>
      <c r="CT67" s="173"/>
    </row>
    <row r="68" spans="19:98" x14ac:dyDescent="0.25">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c r="CS68" s="173"/>
      <c r="CT68" s="173"/>
    </row>
    <row r="69" spans="19:98" x14ac:dyDescent="0.25">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c r="CS69" s="173"/>
      <c r="CT69" s="173"/>
    </row>
    <row r="70" spans="19:98" x14ac:dyDescent="0.25">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c r="CS70" s="173"/>
      <c r="CT70" s="173"/>
    </row>
    <row r="71" spans="19:98" x14ac:dyDescent="0.25">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c r="CS71" s="173"/>
      <c r="CT71" s="173"/>
    </row>
    <row r="72" spans="19:98" x14ac:dyDescent="0.25">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c r="CS72" s="173"/>
      <c r="CT72" s="173"/>
    </row>
    <row r="73" spans="19:98" x14ac:dyDescent="0.25">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c r="CS73" s="173"/>
      <c r="CT73" s="173"/>
    </row>
    <row r="74" spans="19:98" x14ac:dyDescent="0.25">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c r="CS74" s="173"/>
      <c r="CT74" s="173"/>
    </row>
    <row r="75" spans="19:98" x14ac:dyDescent="0.25">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c r="CS75" s="173"/>
      <c r="CT75" s="173"/>
    </row>
    <row r="76" spans="19:98" x14ac:dyDescent="0.25">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c r="CS76" s="173"/>
      <c r="CT76" s="173"/>
    </row>
    <row r="77" spans="19:98" x14ac:dyDescent="0.25">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c r="CS77" s="173"/>
      <c r="CT77" s="173"/>
    </row>
    <row r="78" spans="19:98" x14ac:dyDescent="0.25">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c r="CS78" s="173"/>
      <c r="CT78" s="173"/>
    </row>
    <row r="79" spans="19:98" x14ac:dyDescent="0.25">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c r="CS79" s="173"/>
      <c r="CT79" s="173"/>
    </row>
    <row r="80" spans="19:98" x14ac:dyDescent="0.25">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c r="CS80" s="173"/>
      <c r="CT80" s="173"/>
    </row>
    <row r="81" spans="19:98" x14ac:dyDescent="0.25">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c r="CS81" s="173"/>
      <c r="CT81" s="173"/>
    </row>
    <row r="82" spans="19:98" x14ac:dyDescent="0.25">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c r="CS82" s="173"/>
      <c r="CT82" s="173"/>
    </row>
    <row r="83" spans="19:98" x14ac:dyDescent="0.25">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c r="CS83" s="173"/>
      <c r="CT83" s="173"/>
    </row>
    <row r="84" spans="19:98" x14ac:dyDescent="0.25">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c r="CS84" s="173"/>
      <c r="CT84" s="173"/>
    </row>
    <row r="85" spans="19:98" x14ac:dyDescent="0.25">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c r="CS85" s="173"/>
      <c r="CT85" s="173"/>
    </row>
    <row r="86" spans="19:98" x14ac:dyDescent="0.25">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c r="CS86" s="173"/>
      <c r="CT86" s="173"/>
    </row>
    <row r="87" spans="19:98" x14ac:dyDescent="0.25">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c r="CS87" s="173"/>
      <c r="CT87" s="173"/>
    </row>
    <row r="88" spans="19:98" x14ac:dyDescent="0.25">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c r="CS88" s="173"/>
      <c r="CT88" s="173"/>
    </row>
    <row r="89" spans="19:98" x14ac:dyDescent="0.25">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c r="CS89" s="173"/>
      <c r="CT89" s="173"/>
    </row>
    <row r="90" spans="19:98" x14ac:dyDescent="0.25">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c r="CS90" s="173"/>
      <c r="CT90" s="173"/>
    </row>
    <row r="91" spans="19:98" x14ac:dyDescent="0.25">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c r="CS91" s="173"/>
      <c r="CT91" s="173"/>
    </row>
    <row r="92" spans="19:98" x14ac:dyDescent="0.25">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c r="CS92" s="173"/>
      <c r="CT92" s="173"/>
    </row>
    <row r="93" spans="19:98" x14ac:dyDescent="0.25">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c r="CS93" s="173"/>
      <c r="CT93" s="173"/>
    </row>
    <row r="94" spans="19:98" x14ac:dyDescent="0.25">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c r="CS94" s="173"/>
      <c r="CT94" s="173"/>
    </row>
    <row r="95" spans="19:98" x14ac:dyDescent="0.25">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c r="CS95" s="173"/>
      <c r="CT95" s="173"/>
    </row>
    <row r="96" spans="19:98" x14ac:dyDescent="0.25">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c r="CS96" s="173"/>
      <c r="CT96" s="173"/>
    </row>
    <row r="97" spans="19:98" x14ac:dyDescent="0.25">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c r="CS97" s="173"/>
      <c r="CT97" s="173"/>
    </row>
    <row r="98" spans="19:98" x14ac:dyDescent="0.25">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c r="CS98" s="173"/>
      <c r="CT98" s="173"/>
    </row>
    <row r="99" spans="19:98" x14ac:dyDescent="0.25">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c r="CS99" s="173"/>
      <c r="CT99" s="173"/>
    </row>
    <row r="100" spans="19:98" x14ac:dyDescent="0.25">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c r="CS100" s="173"/>
      <c r="CT100" s="173"/>
    </row>
    <row r="101" spans="19:98" x14ac:dyDescent="0.25">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c r="CS101" s="173"/>
      <c r="CT101" s="173"/>
    </row>
    <row r="102" spans="19:98" x14ac:dyDescent="0.25">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c r="CS102" s="173"/>
      <c r="CT102" s="173"/>
    </row>
    <row r="103" spans="19:98" x14ac:dyDescent="0.25">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c r="CS103" s="173"/>
      <c r="CT103" s="173"/>
    </row>
    <row r="104" spans="19:98" x14ac:dyDescent="0.25">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c r="CS104" s="173"/>
      <c r="CT104" s="173"/>
    </row>
    <row r="105" spans="19:98" x14ac:dyDescent="0.25">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c r="CS105" s="173"/>
      <c r="CT105" s="173"/>
    </row>
    <row r="106" spans="19:98" x14ac:dyDescent="0.25">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c r="CS106" s="173"/>
      <c r="CT106" s="173"/>
    </row>
    <row r="107" spans="19:98" x14ac:dyDescent="0.25">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c r="CS107" s="173"/>
      <c r="CT107" s="173"/>
    </row>
    <row r="108" spans="19:98" x14ac:dyDescent="0.25">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c r="CS108" s="173"/>
      <c r="CT108" s="173"/>
    </row>
    <row r="109" spans="19:98" x14ac:dyDescent="0.25">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c r="CS109" s="173"/>
      <c r="CT109" s="173"/>
    </row>
    <row r="110" spans="19:98" x14ac:dyDescent="0.25">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c r="CS110" s="173"/>
      <c r="CT110" s="173"/>
    </row>
    <row r="111" spans="19:98" x14ac:dyDescent="0.25">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c r="CS111" s="173"/>
      <c r="CT111" s="173"/>
    </row>
    <row r="112" spans="19:98" x14ac:dyDescent="0.25">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c r="CS112" s="173"/>
      <c r="CT112" s="173"/>
    </row>
    <row r="113" spans="19:98" x14ac:dyDescent="0.25">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c r="CS113" s="173"/>
      <c r="CT113" s="173"/>
    </row>
    <row r="114" spans="19:98" x14ac:dyDescent="0.25">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c r="CS114" s="173"/>
      <c r="CT114" s="173"/>
    </row>
    <row r="115" spans="19:98" x14ac:dyDescent="0.25">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c r="CS115" s="173"/>
      <c r="CT115" s="173"/>
    </row>
    <row r="116" spans="19:98" x14ac:dyDescent="0.25">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c r="CS116" s="173"/>
      <c r="CT116" s="173"/>
    </row>
    <row r="117" spans="19:98" x14ac:dyDescent="0.25">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c r="CS117" s="173"/>
      <c r="CT117" s="173"/>
    </row>
    <row r="118" spans="19:98" x14ac:dyDescent="0.25">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c r="CS118" s="173"/>
      <c r="CT118" s="173"/>
    </row>
    <row r="119" spans="19:98" x14ac:dyDescent="0.25">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c r="CS119" s="173"/>
      <c r="CT119" s="173"/>
    </row>
    <row r="120" spans="19:98" x14ac:dyDescent="0.25">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c r="CS120" s="173"/>
      <c r="CT120" s="173"/>
    </row>
    <row r="121" spans="19:98" x14ac:dyDescent="0.25">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c r="CS121" s="173"/>
      <c r="CT121" s="173"/>
    </row>
    <row r="122" spans="19:98" x14ac:dyDescent="0.25">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c r="CS122" s="173"/>
      <c r="CT122" s="173"/>
    </row>
    <row r="123" spans="19:98" x14ac:dyDescent="0.25">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c r="CS123" s="173"/>
      <c r="CT123" s="173"/>
    </row>
    <row r="124" spans="19:98" x14ac:dyDescent="0.25">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c r="CS124" s="173"/>
      <c r="CT124" s="173"/>
    </row>
    <row r="125" spans="19:98" x14ac:dyDescent="0.25">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c r="CS125" s="173"/>
      <c r="CT125" s="173"/>
    </row>
    <row r="126" spans="19:98" x14ac:dyDescent="0.25">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c r="CS126" s="173"/>
      <c r="CT126" s="173"/>
    </row>
    <row r="127" spans="19:98" x14ac:dyDescent="0.25">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c r="CS127" s="173"/>
      <c r="CT127" s="173"/>
    </row>
    <row r="128" spans="19:98" x14ac:dyDescent="0.25">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c r="CS128" s="173"/>
      <c r="CT128" s="173"/>
    </row>
    <row r="129" spans="19:98" x14ac:dyDescent="0.25">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c r="CS129" s="173"/>
      <c r="CT129" s="173"/>
    </row>
    <row r="130" spans="19:98" x14ac:dyDescent="0.25">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c r="CS130" s="173"/>
      <c r="CT130" s="173"/>
    </row>
    <row r="131" spans="19:98" x14ac:dyDescent="0.25">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c r="CS131" s="173"/>
      <c r="CT131" s="173"/>
    </row>
    <row r="132" spans="19:98" x14ac:dyDescent="0.25">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c r="CS132" s="173"/>
      <c r="CT132" s="173"/>
    </row>
    <row r="133" spans="19:98" x14ac:dyDescent="0.25">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c r="CS133" s="173"/>
      <c r="CT133" s="173"/>
    </row>
    <row r="134" spans="19:98" x14ac:dyDescent="0.25">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c r="CS134" s="173"/>
      <c r="CT134" s="173"/>
    </row>
    <row r="135" spans="19:98" x14ac:dyDescent="0.25">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c r="CS135" s="173"/>
      <c r="CT135" s="173"/>
    </row>
    <row r="136" spans="19:98" x14ac:dyDescent="0.25">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c r="CS136" s="173"/>
      <c r="CT136" s="173"/>
    </row>
    <row r="137" spans="19:98" x14ac:dyDescent="0.25">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c r="CS137" s="173"/>
      <c r="CT137" s="173"/>
    </row>
    <row r="138" spans="19:98" x14ac:dyDescent="0.25">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c r="CS138" s="173"/>
      <c r="CT138" s="173"/>
    </row>
    <row r="139" spans="19:98" x14ac:dyDescent="0.25">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c r="CS139" s="173"/>
      <c r="CT139" s="173"/>
    </row>
    <row r="140" spans="19:98" x14ac:dyDescent="0.25">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c r="CS140" s="173"/>
      <c r="CT140" s="173"/>
    </row>
    <row r="141" spans="19:98" x14ac:dyDescent="0.25">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c r="CS141" s="173"/>
      <c r="CT141" s="173"/>
    </row>
    <row r="142" spans="19:98" x14ac:dyDescent="0.25">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c r="CS142" s="173"/>
      <c r="CT142" s="173"/>
    </row>
    <row r="143" spans="19:98" x14ac:dyDescent="0.25">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c r="CS143" s="173"/>
      <c r="CT143" s="173"/>
    </row>
    <row r="144" spans="19:98" x14ac:dyDescent="0.25">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c r="CS144" s="173"/>
      <c r="CT144" s="173"/>
    </row>
    <row r="145" spans="19:98" x14ac:dyDescent="0.25">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c r="CS145" s="173"/>
      <c r="CT145" s="173"/>
    </row>
    <row r="146" spans="19:98" x14ac:dyDescent="0.25">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c r="CS146" s="173"/>
      <c r="CT146" s="173"/>
    </row>
    <row r="147" spans="19:98" x14ac:dyDescent="0.25">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c r="CS147" s="173"/>
      <c r="CT147" s="173"/>
    </row>
    <row r="148" spans="19:98" x14ac:dyDescent="0.25">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c r="CS148" s="173"/>
      <c r="CT148" s="173"/>
    </row>
    <row r="149" spans="19:98" x14ac:dyDescent="0.25">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c r="CS149" s="173"/>
      <c r="CT149" s="173"/>
    </row>
    <row r="150" spans="19:98" x14ac:dyDescent="0.25">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c r="CS150" s="173"/>
      <c r="CT150" s="173"/>
    </row>
    <row r="151" spans="19:98" x14ac:dyDescent="0.25">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c r="CS151" s="173"/>
      <c r="CT151" s="173"/>
    </row>
    <row r="152" spans="19:98" x14ac:dyDescent="0.25">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c r="CS152" s="173"/>
      <c r="CT152" s="173"/>
    </row>
    <row r="153" spans="19:98" x14ac:dyDescent="0.25">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c r="CS153" s="173"/>
      <c r="CT153" s="173"/>
    </row>
    <row r="154" spans="19:98" x14ac:dyDescent="0.25">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c r="CS154" s="173"/>
      <c r="CT154" s="173"/>
    </row>
    <row r="155" spans="19:98" x14ac:dyDescent="0.25">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c r="CS155" s="173"/>
      <c r="CT155" s="173"/>
    </row>
    <row r="156" spans="19:98" x14ac:dyDescent="0.25">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c r="CS156" s="173"/>
      <c r="CT156" s="173"/>
    </row>
    <row r="157" spans="19:98" x14ac:dyDescent="0.25">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c r="CS157" s="173"/>
      <c r="CT157" s="173"/>
    </row>
    <row r="158" spans="19:98" x14ac:dyDescent="0.25">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c r="CS158" s="173"/>
      <c r="CT158" s="173"/>
    </row>
    <row r="159" spans="19:98" x14ac:dyDescent="0.25">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c r="CS159" s="173"/>
      <c r="CT159" s="173"/>
    </row>
    <row r="160" spans="19:98" x14ac:dyDescent="0.25">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c r="CS160" s="173"/>
      <c r="CT160" s="173"/>
    </row>
    <row r="161" spans="19:98" x14ac:dyDescent="0.25">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c r="CS161" s="173"/>
      <c r="CT161" s="173"/>
    </row>
    <row r="162" spans="19:98" x14ac:dyDescent="0.25">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c r="CS162" s="173"/>
      <c r="CT162" s="173"/>
    </row>
    <row r="163" spans="19:98" x14ac:dyDescent="0.25">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c r="CS163" s="173"/>
      <c r="CT163" s="173"/>
    </row>
    <row r="164" spans="19:98" x14ac:dyDescent="0.25">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c r="CS164" s="173"/>
      <c r="CT164" s="173"/>
    </row>
    <row r="165" spans="19:98" x14ac:dyDescent="0.25">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c r="CS165" s="173"/>
      <c r="CT165" s="173"/>
    </row>
    <row r="166" spans="19:98" x14ac:dyDescent="0.25">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c r="CS166" s="173"/>
      <c r="CT166" s="173"/>
    </row>
    <row r="167" spans="19:98" x14ac:dyDescent="0.25">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c r="CS167" s="173"/>
      <c r="CT167" s="173"/>
    </row>
    <row r="168" spans="19:98" x14ac:dyDescent="0.25">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c r="CS168" s="173"/>
      <c r="CT168" s="173"/>
    </row>
    <row r="169" spans="19:98" x14ac:dyDescent="0.25">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c r="CS169" s="173"/>
      <c r="CT169" s="173"/>
    </row>
    <row r="170" spans="19:98" x14ac:dyDescent="0.25">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c r="CS170" s="173"/>
      <c r="CT170" s="173"/>
    </row>
    <row r="171" spans="19:98" x14ac:dyDescent="0.25">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c r="CS171" s="173"/>
      <c r="CT171" s="173"/>
    </row>
    <row r="172" spans="19:98" x14ac:dyDescent="0.25">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c r="CS172" s="173"/>
      <c r="CT172" s="173"/>
    </row>
    <row r="173" spans="19:98" x14ac:dyDescent="0.25">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c r="CS173" s="173"/>
      <c r="CT173" s="173"/>
    </row>
    <row r="174" spans="19:98" x14ac:dyDescent="0.25">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c r="CS174" s="173"/>
      <c r="CT174" s="173"/>
    </row>
    <row r="175" spans="19:98" x14ac:dyDescent="0.25">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c r="CS175" s="173"/>
      <c r="CT175" s="173"/>
    </row>
    <row r="176" spans="19:98" x14ac:dyDescent="0.25">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c r="CS176" s="173"/>
      <c r="CT176" s="173"/>
    </row>
    <row r="177" spans="19:98" x14ac:dyDescent="0.25">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c r="CS177" s="173"/>
      <c r="CT177" s="173"/>
    </row>
    <row r="178" spans="19:98" x14ac:dyDescent="0.25">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c r="CS178" s="173"/>
      <c r="CT178" s="173"/>
    </row>
    <row r="179" spans="19:98" x14ac:dyDescent="0.25">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c r="CS179" s="173"/>
      <c r="CT179" s="173"/>
    </row>
    <row r="180" spans="19:98" x14ac:dyDescent="0.25">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c r="CS180" s="173"/>
      <c r="CT180" s="173"/>
    </row>
    <row r="181" spans="19:98" x14ac:dyDescent="0.25">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c r="CS181" s="173"/>
      <c r="CT181" s="173"/>
    </row>
    <row r="182" spans="19:98" x14ac:dyDescent="0.25">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c r="CS182" s="173"/>
      <c r="CT182" s="173"/>
    </row>
    <row r="183" spans="19:98" x14ac:dyDescent="0.25">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c r="CS183" s="173"/>
      <c r="CT183" s="173"/>
    </row>
    <row r="184" spans="19:98" x14ac:dyDescent="0.25">
      <c r="S184" s="173"/>
      <c r="T184" s="173"/>
      <c r="U184" s="173"/>
      <c r="V184" s="173"/>
      <c r="W184" s="173"/>
      <c r="X184" s="173"/>
      <c r="Y184" s="173"/>
    </row>
    <row r="185" spans="19:98" x14ac:dyDescent="0.25">
      <c r="S185" s="173"/>
      <c r="T185" s="173"/>
      <c r="U185" s="173"/>
      <c r="V185" s="173"/>
      <c r="W185" s="173"/>
      <c r="X185" s="173"/>
      <c r="Y185" s="173"/>
    </row>
    <row r="186" spans="19:98" x14ac:dyDescent="0.25">
      <c r="S186" s="173"/>
      <c r="T186" s="173"/>
      <c r="U186" s="173"/>
      <c r="V186" s="173"/>
      <c r="W186" s="173"/>
      <c r="X186" s="173"/>
      <c r="Y186" s="173"/>
    </row>
    <row r="187" spans="19:98" x14ac:dyDescent="0.25">
      <c r="S187" s="173"/>
      <c r="T187" s="173"/>
      <c r="U187" s="173"/>
      <c r="V187" s="173"/>
      <c r="W187" s="173"/>
      <c r="X187" s="173"/>
      <c r="Y187" s="173"/>
    </row>
    <row r="188" spans="19:98" x14ac:dyDescent="0.25">
      <c r="S188" s="173"/>
      <c r="T188" s="173"/>
      <c r="U188" s="173"/>
      <c r="V188" s="173"/>
      <c r="W188" s="173"/>
      <c r="X188" s="173"/>
      <c r="Y188" s="173"/>
    </row>
    <row r="189" spans="19:98" x14ac:dyDescent="0.25">
      <c r="S189" s="173"/>
      <c r="T189" s="173"/>
      <c r="U189" s="173"/>
      <c r="V189" s="173"/>
      <c r="W189" s="173"/>
      <c r="X189" s="173"/>
      <c r="Y189" s="173"/>
    </row>
    <row r="190" spans="19:98" x14ac:dyDescent="0.25">
      <c r="S190" s="173"/>
      <c r="T190" s="173"/>
      <c r="U190" s="173"/>
      <c r="V190" s="173"/>
      <c r="W190" s="173"/>
      <c r="X190" s="173"/>
      <c r="Y190" s="173"/>
    </row>
    <row r="191" spans="19:98" x14ac:dyDescent="0.25">
      <c r="S191" s="173"/>
      <c r="T191" s="173"/>
      <c r="U191" s="173"/>
      <c r="V191" s="173"/>
      <c r="W191" s="173"/>
      <c r="X191" s="173"/>
      <c r="Y191" s="173"/>
    </row>
  </sheetData>
  <mergeCells count="1">
    <mergeCell ref="I2:I6"/>
  </mergeCells>
  <conditionalFormatting sqref="J7:M16">
    <cfRule type="colorScale" priority="25">
      <colorScale>
        <cfvo type="min"/>
        <cfvo type="percentile" val="50"/>
        <cfvo type="max"/>
        <color rgb="FFF8696B"/>
        <color theme="0"/>
        <color rgb="FF63BE7B"/>
      </colorScale>
    </cfRule>
  </conditionalFormatting>
  <conditionalFormatting sqref="S7:Y16">
    <cfRule type="cellIs" dxfId="2" priority="27" operator="equal">
      <formula>"A"</formula>
    </cfRule>
    <cfRule type="cellIs" dxfId="1" priority="28" operator="equal">
      <formula>"X"</formula>
    </cfRule>
    <cfRule type="colorScale" priority="29">
      <colorScale>
        <cfvo type="min"/>
        <cfvo type="max"/>
        <color theme="0"/>
        <color theme="4" tint="0.39997558519241921"/>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Charts</vt:lpstr>
      </vt:variant>
      <vt:variant>
        <vt:i4>1</vt:i4>
      </vt:variant>
    </vt:vector>
  </HeadingPairs>
  <TitlesOfParts>
    <vt:vector size="21" baseType="lpstr">
      <vt:lpstr>Competition Parameters</vt:lpstr>
      <vt:lpstr>Criteria</vt:lpstr>
      <vt:lpstr>Projects</vt:lpstr>
      <vt:lpstr>Markers</vt:lpstr>
      <vt:lpstr>Keywords</vt:lpstr>
      <vt:lpstr>Project Keywords</vt:lpstr>
      <vt:lpstr>Marker Expertise</vt:lpstr>
      <vt:lpstr>Project X Marker Table</vt:lpstr>
      <vt:lpstr>Expertise Crosswalk</vt:lpstr>
      <vt:lpstr>Assignments Master</vt:lpstr>
      <vt:lpstr>Results</vt:lpstr>
      <vt:lpstr>Analysis</vt:lpstr>
      <vt:lpstr>Expertise by Projects - Instr.</vt:lpstr>
      <vt:lpstr>Expertise by Keywords - Instr.</vt:lpstr>
      <vt:lpstr>Marker Project - template</vt:lpstr>
      <vt:lpstr>Marker Keyword - template</vt:lpstr>
      <vt:lpstr>Instructions to Markers</vt:lpstr>
      <vt:lpstr>Scores and Comments - template</vt:lpstr>
      <vt:lpstr>Marker Scoresheet - template</vt:lpstr>
      <vt:lpstr>Project Comments - template</vt:lpstr>
      <vt:lpstr>Analysis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van den Berg</dc:creator>
  <cp:lastModifiedBy>bert van den Berg</cp:lastModifiedBy>
  <dcterms:created xsi:type="dcterms:W3CDTF">2021-03-27T00:45:56Z</dcterms:created>
  <dcterms:modified xsi:type="dcterms:W3CDTF">2021-03-27T00:55:45Z</dcterms:modified>
</cp:coreProperties>
</file>