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bvmm\Dropbox\Berts Files\Work in DROPBOX\CoSeT\GitHub Version\Sample Data\Workflow Examples\Workflow 2 - Personalized Files\"/>
    </mc:Choice>
  </mc:AlternateContent>
  <xr:revisionPtr revIDLastSave="0" documentId="13_ncr:1_{3E001BC0-D5A4-4A72-9075-E4E435CEF8F2}" xr6:coauthVersionLast="46" xr6:coauthVersionMax="46" xr10:uidLastSave="{00000000-0000-0000-0000-000000000000}"/>
  <bookViews>
    <workbookView xWindow="-120" yWindow="-120" windowWidth="29040" windowHeight="15840" tabRatio="800" firstSheet="2" activeTab="12" xr2:uid="{53B9FE2C-9A44-4F5D-BC9E-125476AEF8B8}"/>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Crosswalk'!$N$1:$N$31</definedName>
    <definedName name="_xlnm._FilterDatabase" localSheetId="16" hidden="1">'Marker Keyword - template'!$C$1:$C$12</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12" l="1"/>
  <c r="I18" i="12"/>
  <c r="L18" i="12"/>
  <c r="L9" i="12"/>
  <c r="H9" i="12"/>
  <c r="J9" i="12"/>
  <c r="R9" i="12"/>
  <c r="X9" i="12" s="1"/>
  <c r="J21" i="12"/>
  <c r="H21" i="12"/>
  <c r="I21" i="12"/>
  <c r="L21" i="12"/>
  <c r="M21" i="12"/>
  <c r="R21" i="12"/>
  <c r="I11" i="12"/>
  <c r="H11" i="12"/>
  <c r="M11" i="12"/>
  <c r="H27" i="12"/>
  <c r="L27" i="12"/>
  <c r="H17" i="12"/>
  <c r="I17" i="12"/>
  <c r="J17" i="12"/>
  <c r="L17" i="12"/>
  <c r="M17" i="12"/>
  <c r="R17" i="12"/>
  <c r="S17" i="12" s="1"/>
  <c r="R4" i="12"/>
  <c r="H4" i="12"/>
  <c r="I4" i="12"/>
  <c r="J4" i="12"/>
  <c r="L4" i="12"/>
  <c r="M4" i="12"/>
  <c r="M19" i="12"/>
  <c r="I19" i="12"/>
  <c r="J19" i="12"/>
  <c r="L19" i="12"/>
  <c r="L7" i="12"/>
  <c r="H7" i="12"/>
  <c r="I7" i="12"/>
  <c r="J7" i="12"/>
  <c r="R7" i="12"/>
  <c r="X7" i="12" s="1"/>
  <c r="J8" i="12"/>
  <c r="H8" i="12"/>
  <c r="I8" i="12"/>
  <c r="R8" i="12"/>
  <c r="I23" i="12"/>
  <c r="H23" i="12"/>
  <c r="M23" i="12"/>
  <c r="H14" i="12"/>
  <c r="L14" i="12"/>
  <c r="H13" i="12"/>
  <c r="I13" i="12"/>
  <c r="J13" i="12"/>
  <c r="K13" i="12" s="1"/>
  <c r="L13" i="12"/>
  <c r="M13" i="12"/>
  <c r="R13" i="12"/>
  <c r="S13" i="12" s="1"/>
  <c r="R16" i="12"/>
  <c r="H16" i="12"/>
  <c r="I16" i="12"/>
  <c r="J16" i="12"/>
  <c r="L16" i="12"/>
  <c r="M16" i="12"/>
  <c r="M28" i="12"/>
  <c r="I28" i="12"/>
  <c r="J28" i="12"/>
  <c r="L28" i="12"/>
  <c r="L15" i="12"/>
  <c r="H15" i="12"/>
  <c r="I15" i="12"/>
  <c r="J15" i="12"/>
  <c r="R15" i="12"/>
  <c r="X15" i="12" s="1"/>
  <c r="J6" i="12"/>
  <c r="H6" i="12"/>
  <c r="I6" i="12"/>
  <c r="R6" i="12"/>
  <c r="I10" i="12"/>
  <c r="H10" i="12"/>
  <c r="M10" i="12"/>
  <c r="H25" i="12"/>
  <c r="H24" i="12"/>
  <c r="I24" i="12"/>
  <c r="J24" i="12"/>
  <c r="L24" i="12"/>
  <c r="M24" i="12"/>
  <c r="R24" i="12"/>
  <c r="S24" i="12" s="1"/>
  <c r="R22" i="12"/>
  <c r="H22" i="12"/>
  <c r="J22" i="12"/>
  <c r="L22" i="12"/>
  <c r="M22" i="12"/>
  <c r="B15" i="20"/>
  <c r="D15" i="20"/>
  <c r="B11" i="20"/>
  <c r="D11" i="20" s="1"/>
  <c r="B22" i="18"/>
  <c r="D23" i="18" s="1"/>
  <c r="B17" i="18"/>
  <c r="D18" i="18" s="1"/>
  <c r="B18" i="18"/>
  <c r="D17" i="18"/>
  <c r="I5" i="19"/>
  <c r="J5" i="19"/>
  <c r="I6" i="19"/>
  <c r="J6" i="19"/>
  <c r="I7" i="19"/>
  <c r="J7" i="19"/>
  <c r="I9" i="19"/>
  <c r="J9" i="19"/>
  <c r="I10" i="19"/>
  <c r="J10" i="19"/>
  <c r="E5" i="19"/>
  <c r="E6" i="19" s="1"/>
  <c r="F5" i="19"/>
  <c r="F6" i="19" s="1"/>
  <c r="B3" i="16"/>
  <c r="B4" i="16"/>
  <c r="B5" i="16"/>
  <c r="B6" i="16"/>
  <c r="B7" i="16"/>
  <c r="B8" i="16"/>
  <c r="B9" i="16"/>
  <c r="B10" i="16"/>
  <c r="B11" i="16"/>
  <c r="B12" i="16"/>
  <c r="B3" i="15"/>
  <c r="C3" i="15"/>
  <c r="D3" i="15"/>
  <c r="E3" i="15"/>
  <c r="F3" i="15"/>
  <c r="B4" i="15"/>
  <c r="C4" i="15"/>
  <c r="D4" i="15"/>
  <c r="E4" i="15"/>
  <c r="F4" i="15"/>
  <c r="B5" i="15"/>
  <c r="C5" i="15"/>
  <c r="D5" i="15"/>
  <c r="E5" i="15"/>
  <c r="F5" i="15"/>
  <c r="B6" i="15"/>
  <c r="C6" i="15"/>
  <c r="D6" i="15"/>
  <c r="E6" i="15"/>
  <c r="F6" i="15"/>
  <c r="B7" i="15"/>
  <c r="C7" i="15"/>
  <c r="D7" i="15"/>
  <c r="E7" i="15"/>
  <c r="F7" i="15"/>
  <c r="B8" i="15"/>
  <c r="C8" i="15"/>
  <c r="D8" i="15"/>
  <c r="E8" i="15"/>
  <c r="F8" i="15"/>
  <c r="B9" i="15"/>
  <c r="C9" i="15"/>
  <c r="D9" i="15"/>
  <c r="E9" i="15"/>
  <c r="F9" i="15"/>
  <c r="B10" i="15"/>
  <c r="C10" i="15"/>
  <c r="D10" i="15"/>
  <c r="E10" i="15"/>
  <c r="F10" i="15"/>
  <c r="B11" i="15"/>
  <c r="C11" i="15"/>
  <c r="D11" i="15"/>
  <c r="E11" i="15"/>
  <c r="F11" i="15"/>
  <c r="B12" i="15"/>
  <c r="C12" i="15"/>
  <c r="D12" i="15"/>
  <c r="E12" i="15"/>
  <c r="F12" i="15"/>
  <c r="B13" i="15"/>
  <c r="C13" i="15"/>
  <c r="D13" i="15"/>
  <c r="E13" i="15"/>
  <c r="F13" i="15"/>
  <c r="B14" i="15"/>
  <c r="C14" i="15"/>
  <c r="D14" i="15"/>
  <c r="E14" i="15"/>
  <c r="F14" i="15"/>
  <c r="B15" i="15"/>
  <c r="C15" i="15"/>
  <c r="D15" i="15"/>
  <c r="E15" i="15"/>
  <c r="F15" i="15"/>
  <c r="B16" i="15"/>
  <c r="C16" i="15"/>
  <c r="D16" i="15"/>
  <c r="E16" i="15"/>
  <c r="F16" i="15"/>
  <c r="B17" i="15"/>
  <c r="C17" i="15"/>
  <c r="D17" i="15"/>
  <c r="E17" i="15"/>
  <c r="F17" i="15"/>
  <c r="B18" i="15"/>
  <c r="C18" i="15"/>
  <c r="D18" i="15"/>
  <c r="E18" i="15"/>
  <c r="F18" i="15"/>
  <c r="B19" i="15"/>
  <c r="C19" i="15"/>
  <c r="D19" i="15"/>
  <c r="E19" i="15"/>
  <c r="F19" i="15"/>
  <c r="B20" i="15"/>
  <c r="C20" i="15"/>
  <c r="D20" i="15"/>
  <c r="E20" i="15"/>
  <c r="F20" i="15"/>
  <c r="B21" i="15"/>
  <c r="C21" i="15"/>
  <c r="D21" i="15"/>
  <c r="E21" i="15"/>
  <c r="F21" i="15"/>
  <c r="B22" i="15"/>
  <c r="C22" i="15"/>
  <c r="D22" i="15"/>
  <c r="E22" i="15"/>
  <c r="F22" i="15"/>
  <c r="B23" i="15"/>
  <c r="C23" i="15"/>
  <c r="D23" i="15"/>
  <c r="E23" i="15"/>
  <c r="F23" i="15"/>
  <c r="B24" i="15"/>
  <c r="C24" i="15"/>
  <c r="D24" i="15"/>
  <c r="E24" i="15"/>
  <c r="F24" i="15"/>
  <c r="B25" i="15"/>
  <c r="C25" i="15"/>
  <c r="D25" i="15"/>
  <c r="E25" i="15"/>
  <c r="F25" i="15"/>
  <c r="B26" i="15"/>
  <c r="C26" i="15"/>
  <c r="D26" i="15"/>
  <c r="E26" i="15"/>
  <c r="F26" i="15"/>
  <c r="AL12" i="11"/>
  <c r="Z6" i="11"/>
  <c r="AA6" i="11"/>
  <c r="AC6" i="11"/>
  <c r="AD6" i="11"/>
  <c r="Z7" i="11"/>
  <c r="AA7" i="11"/>
  <c r="AC7" i="11"/>
  <c r="AD7" i="11"/>
  <c r="Z8" i="11"/>
  <c r="AA8" i="11"/>
  <c r="AC8" i="11"/>
  <c r="AD8" i="11"/>
  <c r="Z9" i="11"/>
  <c r="AA9" i="11"/>
  <c r="AC9" i="11"/>
  <c r="AD9" i="11"/>
  <c r="Z10" i="11"/>
  <c r="AA10" i="11"/>
  <c r="AC10" i="11"/>
  <c r="AD10" i="11"/>
  <c r="Z11" i="11"/>
  <c r="AA11" i="11"/>
  <c r="AC11" i="11"/>
  <c r="AD11" i="11"/>
  <c r="Z12" i="11"/>
  <c r="AA12" i="11"/>
  <c r="AC12" i="11"/>
  <c r="AD12" i="11"/>
  <c r="Z13" i="11"/>
  <c r="AA13" i="11"/>
  <c r="AC13" i="11"/>
  <c r="AD13" i="11"/>
  <c r="Z14" i="11"/>
  <c r="AA14" i="11"/>
  <c r="AC14" i="11"/>
  <c r="AD14" i="11"/>
  <c r="Z15" i="11"/>
  <c r="AA15" i="11"/>
  <c r="AC15" i="11"/>
  <c r="AD15" i="11"/>
  <c r="Z16" i="11"/>
  <c r="AA16" i="11"/>
  <c r="AC16" i="11"/>
  <c r="AD16" i="11"/>
  <c r="Z17" i="11"/>
  <c r="AA17" i="11"/>
  <c r="AC17" i="11"/>
  <c r="AD17" i="11"/>
  <c r="Z18" i="11"/>
  <c r="AA18" i="11"/>
  <c r="AC18" i="11"/>
  <c r="AD18" i="11"/>
  <c r="Z19" i="11"/>
  <c r="AA19" i="11"/>
  <c r="AC19" i="11"/>
  <c r="AD19" i="11"/>
  <c r="Z20" i="11"/>
  <c r="AA20" i="11"/>
  <c r="AC20" i="11"/>
  <c r="AD20" i="11"/>
  <c r="Z21" i="11"/>
  <c r="AA21" i="11"/>
  <c r="AC21" i="11"/>
  <c r="AD21" i="11"/>
  <c r="Z22" i="11"/>
  <c r="AA22" i="11"/>
  <c r="AC22" i="11"/>
  <c r="AD22" i="11"/>
  <c r="Z23" i="11"/>
  <c r="AA23" i="11"/>
  <c r="AC23" i="11"/>
  <c r="AD23" i="11"/>
  <c r="Z24" i="11"/>
  <c r="AA24" i="11"/>
  <c r="AC24" i="11"/>
  <c r="AD24" i="11"/>
  <c r="Z25" i="11"/>
  <c r="AA25" i="11"/>
  <c r="AC25" i="11"/>
  <c r="AD25" i="11"/>
  <c r="Z26" i="11"/>
  <c r="AA26" i="11"/>
  <c r="AC26" i="11"/>
  <c r="AD26" i="11"/>
  <c r="Z27" i="11"/>
  <c r="AA27" i="11"/>
  <c r="AC27" i="11"/>
  <c r="AD27" i="11"/>
  <c r="Z28" i="11"/>
  <c r="AA28" i="11"/>
  <c r="AC28" i="11"/>
  <c r="AD28" i="11"/>
  <c r="Z29" i="11"/>
  <c r="AA29" i="11"/>
  <c r="AC29" i="11"/>
  <c r="AD29" i="11"/>
  <c r="Z30" i="11"/>
  <c r="AA30" i="11"/>
  <c r="AC30" i="11"/>
  <c r="AD30" i="11"/>
  <c r="Z31" i="11"/>
  <c r="AA31" i="11"/>
  <c r="AC31" i="11"/>
  <c r="AD31" i="11"/>
  <c r="Z32" i="11"/>
  <c r="AA32" i="11"/>
  <c r="AC32" i="11"/>
  <c r="AD32" i="11"/>
  <c r="Z33" i="11"/>
  <c r="AA33" i="11"/>
  <c r="AC33" i="11"/>
  <c r="AD33" i="11"/>
  <c r="Z34" i="11"/>
  <c r="AA34" i="11"/>
  <c r="AC34" i="11"/>
  <c r="AD34" i="11"/>
  <c r="Z35" i="11"/>
  <c r="AA35" i="11"/>
  <c r="AC35" i="11"/>
  <c r="AD35" i="11"/>
  <c r="Z36" i="11"/>
  <c r="AA36" i="11"/>
  <c r="AC36" i="11"/>
  <c r="AD36" i="11"/>
  <c r="Z37" i="11"/>
  <c r="AA37" i="11"/>
  <c r="AC37" i="11"/>
  <c r="AD37" i="11"/>
  <c r="Z38" i="11"/>
  <c r="AA38" i="11"/>
  <c r="AC38" i="11"/>
  <c r="AD38" i="11"/>
  <c r="Z39" i="11"/>
  <c r="AA39" i="11"/>
  <c r="AC39" i="11"/>
  <c r="AD39" i="11"/>
  <c r="Z40" i="11"/>
  <c r="AA40" i="11"/>
  <c r="AC40" i="11"/>
  <c r="AD40" i="11"/>
  <c r="Z41" i="11"/>
  <c r="AA41" i="11"/>
  <c r="AC41" i="11"/>
  <c r="AD41" i="11"/>
  <c r="Z42" i="11"/>
  <c r="AA42" i="11"/>
  <c r="AC42" i="11"/>
  <c r="AD42" i="11"/>
  <c r="Z43" i="11"/>
  <c r="AA43" i="11"/>
  <c r="AC43" i="11"/>
  <c r="AD43" i="11"/>
  <c r="Z44" i="11"/>
  <c r="AA44" i="11"/>
  <c r="AC44" i="11"/>
  <c r="AD44" i="11"/>
  <c r="Z45" i="11"/>
  <c r="AA45" i="11"/>
  <c r="AC45" i="11"/>
  <c r="AD45" i="11"/>
  <c r="Z46" i="11"/>
  <c r="AA46" i="11"/>
  <c r="AC46" i="11"/>
  <c r="AD46" i="11"/>
  <c r="Z47" i="11"/>
  <c r="AA47" i="11"/>
  <c r="AC47" i="11"/>
  <c r="AD47" i="11"/>
  <c r="Z48" i="11"/>
  <c r="AA48" i="11"/>
  <c r="AC48" i="11"/>
  <c r="AD48" i="11"/>
  <c r="Z49" i="11"/>
  <c r="AA49" i="11"/>
  <c r="AC49" i="11"/>
  <c r="AD49" i="11"/>
  <c r="Z50" i="11"/>
  <c r="AA50" i="11"/>
  <c r="AC50" i="11"/>
  <c r="AD50" i="11"/>
  <c r="Z51" i="11"/>
  <c r="AA51" i="11"/>
  <c r="AC51" i="11"/>
  <c r="AD51" i="11"/>
  <c r="Z52" i="11"/>
  <c r="AA52" i="11"/>
  <c r="AC52" i="11"/>
  <c r="AD52" i="11"/>
  <c r="Z53" i="11"/>
  <c r="AA53" i="11"/>
  <c r="AC53" i="11"/>
  <c r="AD53" i="11"/>
  <c r="Z54" i="11"/>
  <c r="AA54" i="11"/>
  <c r="AC54" i="11"/>
  <c r="AD54" i="11"/>
  <c r="Z55" i="11"/>
  <c r="AA55" i="11"/>
  <c r="AC55" i="11"/>
  <c r="AD55" i="11"/>
  <c r="Z56" i="11"/>
  <c r="AA56" i="11"/>
  <c r="AC56" i="11"/>
  <c r="AD56" i="11"/>
  <c r="Z57" i="11"/>
  <c r="AA57" i="11"/>
  <c r="AC57" i="11"/>
  <c r="AD57" i="11"/>
  <c r="Z58" i="11"/>
  <c r="AA58" i="11"/>
  <c r="AC58" i="11"/>
  <c r="AD58" i="11"/>
  <c r="Z59" i="11"/>
  <c r="AA59" i="11"/>
  <c r="AC59" i="11"/>
  <c r="AD59" i="11"/>
  <c r="Z60" i="11"/>
  <c r="AA60" i="11"/>
  <c r="AC60" i="11"/>
  <c r="AD60" i="11"/>
  <c r="Z61" i="11"/>
  <c r="AA61" i="11"/>
  <c r="AC61" i="11"/>
  <c r="AD61" i="11"/>
  <c r="Z62" i="11"/>
  <c r="AA62" i="11"/>
  <c r="AC62" i="11"/>
  <c r="AD62" i="11"/>
  <c r="Z63" i="11"/>
  <c r="AA63" i="11"/>
  <c r="AC63" i="11"/>
  <c r="AD63" i="11"/>
  <c r="Z64" i="11"/>
  <c r="AA64" i="11"/>
  <c r="AC64" i="11"/>
  <c r="AD64" i="11"/>
  <c r="Z65" i="11"/>
  <c r="AA65" i="11"/>
  <c r="AC65" i="11"/>
  <c r="AD65" i="11"/>
  <c r="Z66" i="11"/>
  <c r="AA66" i="11"/>
  <c r="AC66" i="11"/>
  <c r="AD66" i="11"/>
  <c r="Z67" i="11"/>
  <c r="AA67" i="11"/>
  <c r="AC67" i="11"/>
  <c r="AD67" i="11"/>
  <c r="Z68" i="11"/>
  <c r="AA68" i="11"/>
  <c r="AC68" i="11"/>
  <c r="AD68" i="11"/>
  <c r="Z69" i="11"/>
  <c r="AA69" i="11"/>
  <c r="AC69" i="11"/>
  <c r="AD69" i="11"/>
  <c r="Z70" i="11"/>
  <c r="AA70" i="11"/>
  <c r="AC70" i="11"/>
  <c r="AD70" i="11"/>
  <c r="Z71" i="11"/>
  <c r="AA71" i="11"/>
  <c r="AC71" i="11"/>
  <c r="AD71" i="11"/>
  <c r="Z72" i="11"/>
  <c r="AA72" i="11"/>
  <c r="AC72" i="11"/>
  <c r="AD72" i="11"/>
  <c r="Z73" i="11"/>
  <c r="AA73" i="11"/>
  <c r="AC73" i="11"/>
  <c r="AD73" i="11"/>
  <c r="Z74" i="11"/>
  <c r="AA74" i="11"/>
  <c r="AC74" i="11"/>
  <c r="AD74" i="11"/>
  <c r="Z75" i="11"/>
  <c r="AA75" i="11"/>
  <c r="AC75" i="11"/>
  <c r="AD75" i="11"/>
  <c r="Z76" i="11"/>
  <c r="AA76" i="11"/>
  <c r="AC76" i="11"/>
  <c r="AD76" i="11"/>
  <c r="Z77" i="11"/>
  <c r="AA77" i="11"/>
  <c r="AC77" i="11"/>
  <c r="AD77" i="11"/>
  <c r="Z78" i="11"/>
  <c r="AA78" i="11"/>
  <c r="AC78" i="11"/>
  <c r="AD78" i="11"/>
  <c r="Z79" i="11"/>
  <c r="AA79" i="11"/>
  <c r="AC79" i="11"/>
  <c r="AD79" i="11"/>
  <c r="Z80" i="11"/>
  <c r="AA80" i="11"/>
  <c r="AC80" i="11"/>
  <c r="AD80" i="11"/>
  <c r="Z81" i="11"/>
  <c r="AA81" i="11"/>
  <c r="AC81" i="11"/>
  <c r="AD81" i="11"/>
  <c r="Z82" i="11"/>
  <c r="AA82" i="11"/>
  <c r="AC82" i="11"/>
  <c r="AD82" i="11"/>
  <c r="Z83" i="11"/>
  <c r="AA83" i="11"/>
  <c r="AC83" i="11"/>
  <c r="AD83" i="11"/>
  <c r="Z84" i="11"/>
  <c r="AA84" i="11"/>
  <c r="AC84" i="11"/>
  <c r="AD84" i="11"/>
  <c r="Z85" i="11"/>
  <c r="AA85" i="11"/>
  <c r="AC85" i="11"/>
  <c r="AD85" i="11"/>
  <c r="Z86" i="11"/>
  <c r="AA86" i="11"/>
  <c r="AC86" i="11"/>
  <c r="AD86" i="11"/>
  <c r="Z87" i="11"/>
  <c r="AA87" i="11"/>
  <c r="AC87" i="11"/>
  <c r="AD87" i="11"/>
  <c r="Z88" i="11"/>
  <c r="AA88" i="11"/>
  <c r="AC88" i="11"/>
  <c r="AD88" i="11"/>
  <c r="Z89" i="11"/>
  <c r="AA89" i="11"/>
  <c r="AC89" i="11"/>
  <c r="AD89" i="11"/>
  <c r="Z90" i="11"/>
  <c r="AA90" i="11"/>
  <c r="AC90" i="11"/>
  <c r="AD90" i="11"/>
  <c r="Z91" i="11"/>
  <c r="AA91" i="11"/>
  <c r="AC91" i="11"/>
  <c r="AD91" i="11"/>
  <c r="Z92" i="11"/>
  <c r="AA92" i="11"/>
  <c r="AC92" i="11"/>
  <c r="AD92" i="11"/>
  <c r="Z93" i="11"/>
  <c r="AA93" i="11"/>
  <c r="AC93" i="11"/>
  <c r="AD93" i="11"/>
  <c r="Z94" i="11"/>
  <c r="AA94" i="11"/>
  <c r="AC94" i="11"/>
  <c r="AD94" i="11"/>
  <c r="Z95" i="11"/>
  <c r="AA95" i="11"/>
  <c r="AC95" i="11"/>
  <c r="AD95" i="11"/>
  <c r="Z96" i="11"/>
  <c r="AA96" i="11"/>
  <c r="AC96" i="11"/>
  <c r="AD96" i="11"/>
  <c r="Z97" i="11"/>
  <c r="AA97" i="11"/>
  <c r="AC97" i="11"/>
  <c r="AD97" i="11"/>
  <c r="Z98" i="11"/>
  <c r="AA98" i="11"/>
  <c r="AC98" i="11"/>
  <c r="AD98" i="11"/>
  <c r="Z99" i="11"/>
  <c r="AA99" i="11"/>
  <c r="AC99" i="11"/>
  <c r="AD99" i="11"/>
  <c r="Z100" i="11"/>
  <c r="AA100" i="11"/>
  <c r="AC100" i="11"/>
  <c r="AD100" i="11"/>
  <c r="Z101" i="11"/>
  <c r="AA101" i="11"/>
  <c r="AC101" i="11"/>
  <c r="AD101" i="11"/>
  <c r="Z102" i="11"/>
  <c r="AA102" i="11"/>
  <c r="AC102" i="11"/>
  <c r="AD102" i="11"/>
  <c r="Z103" i="11"/>
  <c r="AA103" i="11"/>
  <c r="AC103" i="11"/>
  <c r="AD103" i="11"/>
  <c r="Z104" i="11"/>
  <c r="AA104" i="11"/>
  <c r="AC104" i="11"/>
  <c r="AD104" i="11"/>
  <c r="T6" i="11"/>
  <c r="T7" i="11"/>
  <c r="T8" i="11"/>
  <c r="T9" i="11"/>
  <c r="T10" i="11"/>
  <c r="T11" i="11"/>
  <c r="T12" i="11"/>
  <c r="T13" i="11"/>
  <c r="T14" i="11"/>
  <c r="AL5" i="11"/>
  <c r="AL6" i="11"/>
  <c r="AL7" i="11"/>
  <c r="AL9" i="11"/>
  <c r="AB25" i="11"/>
  <c r="AL10" i="11"/>
  <c r="AL11" i="11"/>
  <c r="AB32" i="11"/>
  <c r="AB33" i="11"/>
  <c r="AB34" i="11"/>
  <c r="AB35" i="11"/>
  <c r="AL25" i="11"/>
  <c r="AL29" i="11"/>
  <c r="AL13" i="11"/>
  <c r="AB43" i="11"/>
  <c r="AB44" i="11"/>
  <c r="AB45" i="11"/>
  <c r="AB46" i="11"/>
  <c r="AL14" i="11"/>
  <c r="AL15" i="11"/>
  <c r="AB52" i="11"/>
  <c r="AB53" i="11"/>
  <c r="AB54" i="11"/>
  <c r="AL16" i="11"/>
  <c r="AB55" i="11"/>
  <c r="AL17" i="11"/>
  <c r="AB60" i="11"/>
  <c r="AB61" i="11"/>
  <c r="AB62" i="11"/>
  <c r="AB63" i="11"/>
  <c r="AB64" i="11"/>
  <c r="AB65" i="11"/>
  <c r="AB67" i="11"/>
  <c r="AL18" i="11"/>
  <c r="AB69" i="11"/>
  <c r="AL19" i="11"/>
  <c r="AB70" i="11"/>
  <c r="AB71" i="11"/>
  <c r="AB72" i="11"/>
  <c r="AB73" i="11"/>
  <c r="AL20" i="11"/>
  <c r="AB77" i="11"/>
  <c r="AL21" i="11"/>
  <c r="AB79" i="11"/>
  <c r="AB80" i="11"/>
  <c r="AB81" i="11"/>
  <c r="AL27" i="11"/>
  <c r="AB82" i="11"/>
  <c r="AB83" i="11"/>
  <c r="AB84" i="11"/>
  <c r="AL22" i="11"/>
  <c r="AB85" i="11"/>
  <c r="AB86" i="11"/>
  <c r="AB87" i="11"/>
  <c r="AL23" i="11"/>
  <c r="AB89" i="11"/>
  <c r="AB90" i="11"/>
  <c r="AB91" i="11"/>
  <c r="AB92" i="11"/>
  <c r="AB93" i="11"/>
  <c r="AB94" i="11"/>
  <c r="AB95" i="11"/>
  <c r="AL24" i="11"/>
  <c r="AB96" i="11"/>
  <c r="AB97" i="11"/>
  <c r="AL28" i="11"/>
  <c r="AB99" i="11"/>
  <c r="AB100" i="11"/>
  <c r="AB101" i="11"/>
  <c r="AB102" i="11"/>
  <c r="AB103" i="11"/>
  <c r="AB104" i="11"/>
  <c r="L1" i="11"/>
  <c r="M1" i="11"/>
  <c r="AG2" i="11"/>
  <c r="AN2" i="11" s="1"/>
  <c r="AH2" i="11"/>
  <c r="AO2" i="11" s="1"/>
  <c r="AH3" i="11"/>
  <c r="AO3" i="11" s="1"/>
  <c r="AG4" i="11"/>
  <c r="AN4" i="11" s="1"/>
  <c r="AH4" i="11"/>
  <c r="AO4" i="11" s="1"/>
  <c r="O4" i="10"/>
  <c r="P4" i="10" s="1"/>
  <c r="O5" i="10"/>
  <c r="O6" i="10"/>
  <c r="O7" i="10"/>
  <c r="P7" i="10"/>
  <c r="O8" i="10"/>
  <c r="P8" i="10" s="1"/>
  <c r="O9" i="10"/>
  <c r="O10" i="10"/>
  <c r="O11" i="10"/>
  <c r="P11" i="10"/>
  <c r="O12" i="10"/>
  <c r="P12" i="10" s="1"/>
  <c r="L4" i="10"/>
  <c r="M4" i="10"/>
  <c r="K5" i="10"/>
  <c r="M5" i="10"/>
  <c r="K7" i="10"/>
  <c r="L7" i="10"/>
  <c r="M7" i="10"/>
  <c r="L8" i="10"/>
  <c r="M9" i="10"/>
  <c r="K10" i="10"/>
  <c r="L10" i="10"/>
  <c r="K11" i="10"/>
  <c r="L12" i="10"/>
  <c r="M12" i="10"/>
  <c r="K13" i="10"/>
  <c r="M13" i="10"/>
  <c r="K15" i="10"/>
  <c r="L15" i="10"/>
  <c r="M15" i="10"/>
  <c r="L16" i="10"/>
  <c r="M17" i="10"/>
  <c r="K18" i="10"/>
  <c r="L18" i="10"/>
  <c r="K19" i="10"/>
  <c r="L19" i="10"/>
  <c r="L20" i="10"/>
  <c r="M20" i="10"/>
  <c r="K21" i="10"/>
  <c r="M21" i="10"/>
  <c r="K22" i="10"/>
  <c r="K23" i="10"/>
  <c r="L23" i="10"/>
  <c r="M23" i="10"/>
  <c r="L24" i="10"/>
  <c r="M24" i="10"/>
  <c r="K25" i="10"/>
  <c r="M25" i="10"/>
  <c r="K26" i="10"/>
  <c r="L26" i="10"/>
  <c r="K27" i="10"/>
  <c r="L27" i="10"/>
  <c r="M27" i="10"/>
  <c r="A4" i="10"/>
  <c r="B4" i="10"/>
  <c r="C4" i="10"/>
  <c r="D4" i="10"/>
  <c r="A5" i="10"/>
  <c r="B5" i="10"/>
  <c r="C5" i="10"/>
  <c r="D5" i="10"/>
  <c r="A6" i="10"/>
  <c r="B6" i="10"/>
  <c r="C6" i="10"/>
  <c r="D6" i="10"/>
  <c r="E6" i="10" s="1"/>
  <c r="A7" i="10"/>
  <c r="B7" i="10"/>
  <c r="C7" i="10"/>
  <c r="D7" i="10"/>
  <c r="A8" i="10"/>
  <c r="B8" i="10"/>
  <c r="C8" i="10"/>
  <c r="D8" i="10"/>
  <c r="A9" i="10"/>
  <c r="B9" i="10"/>
  <c r="C9" i="10"/>
  <c r="D9" i="10"/>
  <c r="A10" i="10"/>
  <c r="B10" i="10"/>
  <c r="C10" i="10"/>
  <c r="D10" i="10"/>
  <c r="A11" i="10"/>
  <c r="B11" i="10"/>
  <c r="C11" i="10"/>
  <c r="D11" i="10"/>
  <c r="E11" i="10" s="1"/>
  <c r="A12" i="10"/>
  <c r="B12" i="10"/>
  <c r="C12" i="10"/>
  <c r="D12" i="10"/>
  <c r="A13" i="10"/>
  <c r="B13" i="10"/>
  <c r="C13" i="10"/>
  <c r="D13" i="10"/>
  <c r="A14" i="10"/>
  <c r="B14" i="10"/>
  <c r="C14" i="10"/>
  <c r="D14" i="10"/>
  <c r="E14" i="10" s="1"/>
  <c r="A15" i="10"/>
  <c r="B15" i="10"/>
  <c r="C15" i="10"/>
  <c r="D15" i="10"/>
  <c r="A16" i="10"/>
  <c r="B16" i="10"/>
  <c r="C16" i="10"/>
  <c r="D16" i="10"/>
  <c r="A17" i="10"/>
  <c r="B17" i="10"/>
  <c r="C17" i="10"/>
  <c r="D17" i="10"/>
  <c r="A18" i="10"/>
  <c r="B18" i="10"/>
  <c r="C18" i="10"/>
  <c r="D18" i="10"/>
  <c r="A19" i="10"/>
  <c r="B19" i="10"/>
  <c r="C19" i="10"/>
  <c r="D19" i="10"/>
  <c r="E19" i="10" s="1"/>
  <c r="A20" i="10"/>
  <c r="B20" i="10"/>
  <c r="C20" i="10"/>
  <c r="D20" i="10"/>
  <c r="A21" i="10"/>
  <c r="B21" i="10"/>
  <c r="C21" i="10"/>
  <c r="D21" i="10"/>
  <c r="A22" i="10"/>
  <c r="B22" i="10"/>
  <c r="C22" i="10"/>
  <c r="D22" i="10"/>
  <c r="E22" i="10" s="1"/>
  <c r="A23" i="10"/>
  <c r="B23" i="10"/>
  <c r="C23" i="10"/>
  <c r="D23" i="10"/>
  <c r="A24" i="10"/>
  <c r="B24" i="10"/>
  <c r="C24" i="10"/>
  <c r="D24" i="10"/>
  <c r="A25" i="10"/>
  <c r="B25" i="10"/>
  <c r="C25" i="10"/>
  <c r="D25" i="10"/>
  <c r="A26" i="10"/>
  <c r="B26" i="10"/>
  <c r="C26" i="10"/>
  <c r="D26" i="10"/>
  <c r="A27" i="10"/>
  <c r="B27" i="10"/>
  <c r="C27" i="10"/>
  <c r="D27" i="10"/>
  <c r="A8" i="9"/>
  <c r="B8" i="9" s="1"/>
  <c r="E8" i="9"/>
  <c r="F8" i="9"/>
  <c r="D8" i="9" s="1"/>
  <c r="I8" i="9"/>
  <c r="A9" i="9"/>
  <c r="B9" i="9" s="1"/>
  <c r="E9" i="9"/>
  <c r="F9" i="9"/>
  <c r="D9" i="9" s="1"/>
  <c r="I9" i="9"/>
  <c r="A10" i="9"/>
  <c r="B10" i="9"/>
  <c r="D10" i="9"/>
  <c r="E10" i="9"/>
  <c r="F10" i="9"/>
  <c r="G10" i="9" s="1"/>
  <c r="H10" i="9" s="1"/>
  <c r="C10" i="9" s="1"/>
  <c r="I10" i="9"/>
  <c r="A11" i="9"/>
  <c r="B11" i="9" s="1"/>
  <c r="E11" i="9"/>
  <c r="F11" i="9"/>
  <c r="G11" i="9" s="1"/>
  <c r="H11" i="9" s="1"/>
  <c r="C11" i="9" s="1"/>
  <c r="I11" i="9"/>
  <c r="A12" i="9"/>
  <c r="B12" i="9"/>
  <c r="D12" i="9"/>
  <c r="E12" i="9"/>
  <c r="F12" i="9"/>
  <c r="G12" i="9" s="1"/>
  <c r="H12" i="9" s="1"/>
  <c r="C12" i="9" s="1"/>
  <c r="I12" i="9"/>
  <c r="A13" i="9"/>
  <c r="B13" i="9" s="1"/>
  <c r="E13" i="9"/>
  <c r="F13" i="9"/>
  <c r="D13" i="9" s="1"/>
  <c r="I13" i="9"/>
  <c r="A14" i="9"/>
  <c r="B14" i="9" s="1"/>
  <c r="E14" i="9"/>
  <c r="F14" i="9"/>
  <c r="D14" i="9" s="1"/>
  <c r="I14" i="9"/>
  <c r="A15" i="9"/>
  <c r="B15" i="9" s="1"/>
  <c r="E15" i="9"/>
  <c r="F15" i="9"/>
  <c r="D15" i="9" s="1"/>
  <c r="I15" i="9"/>
  <c r="A16" i="9"/>
  <c r="B16" i="9" s="1"/>
  <c r="E16" i="9"/>
  <c r="F16" i="9"/>
  <c r="D16" i="9" s="1"/>
  <c r="I16" i="9"/>
  <c r="A17" i="9"/>
  <c r="B17" i="9" s="1"/>
  <c r="E17" i="9"/>
  <c r="F17" i="9"/>
  <c r="D17" i="9" s="1"/>
  <c r="I17" i="9"/>
  <c r="A18" i="9"/>
  <c r="B18" i="9"/>
  <c r="E18" i="9"/>
  <c r="F18" i="9"/>
  <c r="G18" i="9" s="1"/>
  <c r="H18" i="9" s="1"/>
  <c r="C18" i="9" s="1"/>
  <c r="I18" i="9"/>
  <c r="A19" i="9"/>
  <c r="B19" i="9" s="1"/>
  <c r="E19" i="9"/>
  <c r="F19" i="9"/>
  <c r="G19" i="9" s="1"/>
  <c r="H19" i="9" s="1"/>
  <c r="C19" i="9" s="1"/>
  <c r="I19" i="9"/>
  <c r="A20" i="9"/>
  <c r="B20" i="9"/>
  <c r="E20" i="9"/>
  <c r="F20" i="9"/>
  <c r="G20" i="9" s="1"/>
  <c r="H20" i="9" s="1"/>
  <c r="C20" i="9" s="1"/>
  <c r="I20" i="9"/>
  <c r="A21" i="9"/>
  <c r="B21" i="9" s="1"/>
  <c r="E21" i="9"/>
  <c r="F21" i="9"/>
  <c r="D21" i="9" s="1"/>
  <c r="I21" i="9"/>
  <c r="A22" i="9"/>
  <c r="B22" i="9"/>
  <c r="E22" i="9"/>
  <c r="F22" i="9"/>
  <c r="D22" i="9" s="1"/>
  <c r="I22" i="9"/>
  <c r="A23" i="9"/>
  <c r="B23" i="9" s="1"/>
  <c r="E23" i="9"/>
  <c r="F23" i="9"/>
  <c r="D23" i="9" s="1"/>
  <c r="I23" i="9"/>
  <c r="A24" i="9"/>
  <c r="B24" i="9" s="1"/>
  <c r="E24" i="9"/>
  <c r="F24" i="9"/>
  <c r="D24" i="9" s="1"/>
  <c r="I24" i="9"/>
  <c r="A25" i="9"/>
  <c r="B25" i="9"/>
  <c r="E25" i="9"/>
  <c r="F25" i="9"/>
  <c r="D25" i="9" s="1"/>
  <c r="I25" i="9"/>
  <c r="A26" i="9"/>
  <c r="B26" i="9"/>
  <c r="E26" i="9"/>
  <c r="F26" i="9"/>
  <c r="G26" i="9" s="1"/>
  <c r="H26" i="9" s="1"/>
  <c r="C26" i="9" s="1"/>
  <c r="I26" i="9"/>
  <c r="A27" i="9"/>
  <c r="B27" i="9" s="1"/>
  <c r="E27" i="9"/>
  <c r="F27" i="9"/>
  <c r="G27" i="9" s="1"/>
  <c r="H27" i="9" s="1"/>
  <c r="C27" i="9" s="1"/>
  <c r="I27" i="9"/>
  <c r="A28" i="9"/>
  <c r="B28" i="9"/>
  <c r="E28" i="9"/>
  <c r="F28" i="9"/>
  <c r="D28" i="9" s="1"/>
  <c r="I28" i="9"/>
  <c r="A29" i="9"/>
  <c r="B29" i="9" s="1"/>
  <c r="E29" i="9"/>
  <c r="F29" i="9"/>
  <c r="D29" i="9" s="1"/>
  <c r="I29" i="9"/>
  <c r="A30" i="9"/>
  <c r="B30" i="9"/>
  <c r="E30" i="9"/>
  <c r="F30" i="9"/>
  <c r="D30" i="9" s="1"/>
  <c r="I30" i="9"/>
  <c r="A31" i="9"/>
  <c r="B31" i="9" s="1"/>
  <c r="E31" i="9"/>
  <c r="F31" i="9"/>
  <c r="D31" i="9" s="1"/>
  <c r="G31" i="9"/>
  <c r="H31" i="9" s="1"/>
  <c r="C31" i="9" s="1"/>
  <c r="I31" i="9"/>
  <c r="T2" i="9"/>
  <c r="U2" i="9"/>
  <c r="V2" i="9"/>
  <c r="W2" i="9"/>
  <c r="X2" i="9"/>
  <c r="Y2" i="9"/>
  <c r="Z2" i="9"/>
  <c r="AA2" i="9"/>
  <c r="AB2" i="9"/>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E2" i="8"/>
  <c r="F2" i="8"/>
  <c r="G2" i="8"/>
  <c r="H2" i="8"/>
  <c r="I2" i="8"/>
  <c r="J2" i="8"/>
  <c r="K2" i="8"/>
  <c r="L2" i="8"/>
  <c r="M2" i="8"/>
  <c r="E3" i="8"/>
  <c r="F3" i="8"/>
  <c r="G3" i="8"/>
  <c r="H3" i="8"/>
  <c r="I3" i="8"/>
  <c r="J3" i="8"/>
  <c r="K3" i="8"/>
  <c r="L3" i="8"/>
  <c r="M3" i="8"/>
  <c r="A5" i="7"/>
  <c r="P5" i="7" s="1"/>
  <c r="B5" i="7"/>
  <c r="N5" i="7"/>
  <c r="Q5" i="7"/>
  <c r="R5" i="7"/>
  <c r="S5" i="7"/>
  <c r="T5" i="7"/>
  <c r="U5" i="7"/>
  <c r="V5" i="7"/>
  <c r="W5" i="7"/>
  <c r="AB5" i="7" s="1"/>
  <c r="X5" i="7"/>
  <c r="Y5" i="7"/>
  <c r="Z5" i="7"/>
  <c r="AA5" i="7"/>
  <c r="A6" i="7"/>
  <c r="P6" i="7" s="1"/>
  <c r="B6" i="7"/>
  <c r="N6" i="7"/>
  <c r="Q6" i="7"/>
  <c r="R6" i="7"/>
  <c r="S6" i="7"/>
  <c r="T6" i="7"/>
  <c r="U6" i="7"/>
  <c r="V6" i="7"/>
  <c r="W6" i="7"/>
  <c r="AB6" i="7" s="1"/>
  <c r="X6" i="7"/>
  <c r="Y6" i="7"/>
  <c r="Z6" i="7"/>
  <c r="AA6" i="7"/>
  <c r="A7" i="7"/>
  <c r="P7" i="7" s="1"/>
  <c r="B7" i="7"/>
  <c r="N7" i="7"/>
  <c r="Q7" i="7"/>
  <c r="R7" i="7"/>
  <c r="S7" i="7"/>
  <c r="T7" i="7"/>
  <c r="U7" i="7"/>
  <c r="V7" i="7"/>
  <c r="W7" i="7"/>
  <c r="AB7" i="7" s="1"/>
  <c r="X7" i="7"/>
  <c r="Y7" i="7"/>
  <c r="Z7" i="7"/>
  <c r="AA7" i="7"/>
  <c r="A8" i="7"/>
  <c r="P8" i="7" s="1"/>
  <c r="B8" i="7"/>
  <c r="N8" i="7"/>
  <c r="Q8" i="7"/>
  <c r="R8" i="7"/>
  <c r="S8" i="7"/>
  <c r="T8" i="7"/>
  <c r="U8" i="7"/>
  <c r="V8" i="7"/>
  <c r="W8" i="7"/>
  <c r="AB8" i="7" s="1"/>
  <c r="X8" i="7"/>
  <c r="Y8" i="7"/>
  <c r="Z8" i="7"/>
  <c r="AA8" i="7"/>
  <c r="A9" i="7"/>
  <c r="P9" i="7" s="1"/>
  <c r="B9" i="7"/>
  <c r="N9" i="7"/>
  <c r="Q9" i="7"/>
  <c r="R9" i="7"/>
  <c r="S9" i="7"/>
  <c r="T9" i="7"/>
  <c r="U9" i="7"/>
  <c r="V9" i="7"/>
  <c r="W9" i="7"/>
  <c r="AB9" i="7" s="1"/>
  <c r="X9" i="7"/>
  <c r="Y9" i="7"/>
  <c r="Z9" i="7"/>
  <c r="AA9" i="7"/>
  <c r="A10" i="7"/>
  <c r="P10" i="7" s="1"/>
  <c r="B10" i="7"/>
  <c r="N10" i="7"/>
  <c r="Q10" i="7"/>
  <c r="R10" i="7"/>
  <c r="S10" i="7"/>
  <c r="T10" i="7"/>
  <c r="U10" i="7"/>
  <c r="V10" i="7"/>
  <c r="W10" i="7"/>
  <c r="AB10" i="7" s="1"/>
  <c r="X10" i="7"/>
  <c r="Y10" i="7"/>
  <c r="Z10" i="7"/>
  <c r="AA10" i="7"/>
  <c r="A11" i="7"/>
  <c r="P11" i="7" s="1"/>
  <c r="B11" i="7"/>
  <c r="N11" i="7"/>
  <c r="Q11" i="7"/>
  <c r="R11" i="7"/>
  <c r="S11" i="7"/>
  <c r="T11" i="7"/>
  <c r="U11" i="7"/>
  <c r="V11" i="7"/>
  <c r="V3" i="7" s="1"/>
  <c r="W11" i="7"/>
  <c r="AB11" i="7" s="1"/>
  <c r="X11" i="7"/>
  <c r="Y11" i="7"/>
  <c r="Z11" i="7"/>
  <c r="AA11" i="7"/>
  <c r="A12" i="7"/>
  <c r="P12" i="7" s="1"/>
  <c r="B12" i="7"/>
  <c r="N12" i="7"/>
  <c r="Q12" i="7"/>
  <c r="R12" i="7"/>
  <c r="S12" i="7"/>
  <c r="T12" i="7"/>
  <c r="U12" i="7"/>
  <c r="V12" i="7"/>
  <c r="W12" i="7"/>
  <c r="AB12" i="7" s="1"/>
  <c r="X12" i="7"/>
  <c r="Y12" i="7"/>
  <c r="Z12" i="7"/>
  <c r="AA12" i="7"/>
  <c r="A13" i="7"/>
  <c r="P13" i="7" s="1"/>
  <c r="B13" i="7"/>
  <c r="N13" i="7"/>
  <c r="Q13" i="7"/>
  <c r="R13" i="7"/>
  <c r="S13" i="7"/>
  <c r="T13" i="7"/>
  <c r="U13" i="7"/>
  <c r="V13" i="7"/>
  <c r="W13" i="7"/>
  <c r="AB13" i="7" s="1"/>
  <c r="X13" i="7"/>
  <c r="Y13" i="7"/>
  <c r="Z13" i="7"/>
  <c r="AA13" i="7"/>
  <c r="N4" i="7"/>
  <c r="R4" i="7"/>
  <c r="S4" i="7"/>
  <c r="T4" i="7"/>
  <c r="U4" i="7"/>
  <c r="U3" i="7" s="1"/>
  <c r="V4" i="7"/>
  <c r="W4" i="7"/>
  <c r="X4" i="7"/>
  <c r="Y4" i="7"/>
  <c r="Z4" i="7"/>
  <c r="AA4" i="7"/>
  <c r="D2" i="7"/>
  <c r="R2" i="7" s="1"/>
  <c r="E2" i="7"/>
  <c r="S2" i="7" s="1"/>
  <c r="F2" i="7"/>
  <c r="T2" i="7" s="1"/>
  <c r="G2" i="7"/>
  <c r="U2" i="7" s="1"/>
  <c r="H2" i="7"/>
  <c r="V2" i="7" s="1"/>
  <c r="I2" i="7"/>
  <c r="W2" i="7" s="1"/>
  <c r="J2" i="7"/>
  <c r="X2" i="7" s="1"/>
  <c r="K2" i="7"/>
  <c r="Y2" i="7" s="1"/>
  <c r="L2" i="7"/>
  <c r="Z2" i="7" s="1"/>
  <c r="M2" i="7"/>
  <c r="AA2" i="7" s="1"/>
  <c r="D3" i="7"/>
  <c r="E3" i="7"/>
  <c r="F3" i="7"/>
  <c r="G3" i="7"/>
  <c r="H3" i="7"/>
  <c r="I3" i="7"/>
  <c r="J3" i="7"/>
  <c r="K3" i="7"/>
  <c r="L3" i="7"/>
  <c r="M3" i="7"/>
  <c r="B5" i="6"/>
  <c r="N5" i="6"/>
  <c r="P5" i="6"/>
  <c r="Q5" i="6"/>
  <c r="R5" i="6"/>
  <c r="S5" i="6"/>
  <c r="T5" i="6"/>
  <c r="U5" i="6"/>
  <c r="V5" i="6"/>
  <c r="W5" i="6"/>
  <c r="AB5" i="6" s="1"/>
  <c r="X5" i="6"/>
  <c r="Y5" i="6"/>
  <c r="Z5" i="6"/>
  <c r="AA5" i="6"/>
  <c r="B6" i="6"/>
  <c r="N6" i="6"/>
  <c r="P6" i="6"/>
  <c r="Q6" i="6"/>
  <c r="R6" i="6"/>
  <c r="S6" i="6"/>
  <c r="T6" i="6"/>
  <c r="U6" i="6"/>
  <c r="AB6" i="6" s="1"/>
  <c r="V6" i="6"/>
  <c r="W6" i="6"/>
  <c r="X6" i="6"/>
  <c r="Y6" i="6"/>
  <c r="Z6" i="6"/>
  <c r="AA6" i="6"/>
  <c r="B7" i="6"/>
  <c r="N7" i="6"/>
  <c r="P7" i="6"/>
  <c r="Q7" i="6"/>
  <c r="AB7" i="6" s="1"/>
  <c r="R7" i="6"/>
  <c r="S7" i="6"/>
  <c r="T7" i="6"/>
  <c r="U7" i="6"/>
  <c r="V7" i="6"/>
  <c r="W7" i="6"/>
  <c r="X7" i="6"/>
  <c r="Y7" i="6"/>
  <c r="Z7" i="6"/>
  <c r="AA7" i="6"/>
  <c r="B8" i="6"/>
  <c r="N8" i="6"/>
  <c r="P8" i="6"/>
  <c r="Q8" i="6"/>
  <c r="AB8" i="6" s="1"/>
  <c r="R8" i="6"/>
  <c r="S8" i="6"/>
  <c r="T8" i="6"/>
  <c r="U8" i="6"/>
  <c r="V8" i="6"/>
  <c r="W8" i="6"/>
  <c r="X8" i="6"/>
  <c r="Y8" i="6"/>
  <c r="Z8" i="6"/>
  <c r="AA8" i="6"/>
  <c r="B9" i="6"/>
  <c r="N9" i="6"/>
  <c r="P9" i="6"/>
  <c r="Q9" i="6"/>
  <c r="AB9" i="6" s="1"/>
  <c r="R9" i="6"/>
  <c r="S9" i="6"/>
  <c r="T9" i="6"/>
  <c r="U9" i="6"/>
  <c r="V9" i="6"/>
  <c r="W9" i="6"/>
  <c r="X9" i="6"/>
  <c r="Y9" i="6"/>
  <c r="Z9" i="6"/>
  <c r="AA9" i="6"/>
  <c r="B10" i="6"/>
  <c r="N10" i="6"/>
  <c r="P10" i="6"/>
  <c r="Q10" i="6"/>
  <c r="AB10" i="6" s="1"/>
  <c r="R10" i="6"/>
  <c r="S10" i="6"/>
  <c r="T10" i="6"/>
  <c r="U10" i="6"/>
  <c r="V10" i="6"/>
  <c r="W10" i="6"/>
  <c r="X10" i="6"/>
  <c r="Y10" i="6"/>
  <c r="Z10" i="6"/>
  <c r="AA10" i="6"/>
  <c r="B11" i="6"/>
  <c r="N11" i="6"/>
  <c r="P11" i="6"/>
  <c r="Q11" i="6"/>
  <c r="AB11" i="6" s="1"/>
  <c r="R11" i="6"/>
  <c r="S11" i="6"/>
  <c r="T11" i="6"/>
  <c r="U11" i="6"/>
  <c r="V11" i="6"/>
  <c r="W11" i="6"/>
  <c r="X11" i="6"/>
  <c r="Y11" i="6"/>
  <c r="Z11" i="6"/>
  <c r="AA11" i="6"/>
  <c r="B12" i="6"/>
  <c r="N12" i="6"/>
  <c r="P12" i="6"/>
  <c r="Q12" i="6"/>
  <c r="R12" i="6"/>
  <c r="S12" i="6"/>
  <c r="T12" i="6"/>
  <c r="U12" i="6"/>
  <c r="V12" i="6"/>
  <c r="W12" i="6"/>
  <c r="X12" i="6"/>
  <c r="Y12" i="6"/>
  <c r="Z12" i="6"/>
  <c r="AA12" i="6"/>
  <c r="AB12" i="6" s="1"/>
  <c r="B13" i="6"/>
  <c r="N13" i="6"/>
  <c r="P13" i="6"/>
  <c r="Q13" i="6"/>
  <c r="R13" i="6"/>
  <c r="S13" i="6"/>
  <c r="T13" i="6"/>
  <c r="U13" i="6"/>
  <c r="V13" i="6"/>
  <c r="W13" i="6"/>
  <c r="X13" i="6"/>
  <c r="Y13" i="6"/>
  <c r="Z13" i="6"/>
  <c r="AA13" i="6"/>
  <c r="AB13" i="6"/>
  <c r="B14" i="6"/>
  <c r="N14" i="6"/>
  <c r="P14" i="6"/>
  <c r="Q14" i="6"/>
  <c r="R14" i="6"/>
  <c r="S14" i="6"/>
  <c r="T14" i="6"/>
  <c r="U14" i="6"/>
  <c r="AB14" i="6" s="1"/>
  <c r="V14" i="6"/>
  <c r="W14" i="6"/>
  <c r="X14" i="6"/>
  <c r="Y14" i="6"/>
  <c r="Z14" i="6"/>
  <c r="AA14" i="6"/>
  <c r="B15" i="6"/>
  <c r="N15" i="6"/>
  <c r="P15" i="6"/>
  <c r="Q15" i="6"/>
  <c r="AB15" i="6" s="1"/>
  <c r="R15" i="6"/>
  <c r="S15" i="6"/>
  <c r="T15" i="6"/>
  <c r="U15" i="6"/>
  <c r="V15" i="6"/>
  <c r="W15" i="6"/>
  <c r="X15" i="6"/>
  <c r="Y15" i="6"/>
  <c r="Z15" i="6"/>
  <c r="AA15" i="6"/>
  <c r="B16" i="6"/>
  <c r="N16" i="6"/>
  <c r="P16" i="6"/>
  <c r="Q16" i="6"/>
  <c r="R16" i="6"/>
  <c r="S16" i="6"/>
  <c r="T16" i="6"/>
  <c r="U16" i="6"/>
  <c r="V16" i="6"/>
  <c r="W16" i="6"/>
  <c r="AB16" i="6" s="1"/>
  <c r="X16" i="6"/>
  <c r="Y16" i="6"/>
  <c r="Z16" i="6"/>
  <c r="AA16" i="6"/>
  <c r="B17" i="6"/>
  <c r="N17" i="6"/>
  <c r="P17" i="6"/>
  <c r="Q17" i="6"/>
  <c r="AB17" i="6" s="1"/>
  <c r="R17" i="6"/>
  <c r="S17" i="6"/>
  <c r="T17" i="6"/>
  <c r="U17" i="6"/>
  <c r="V17" i="6"/>
  <c r="W17" i="6"/>
  <c r="X17" i="6"/>
  <c r="Y17" i="6"/>
  <c r="Z17" i="6"/>
  <c r="AA17" i="6"/>
  <c r="B18" i="6"/>
  <c r="N18" i="6"/>
  <c r="P18" i="6"/>
  <c r="Q18" i="6"/>
  <c r="AB18" i="6" s="1"/>
  <c r="R18" i="6"/>
  <c r="S18" i="6"/>
  <c r="T18" i="6"/>
  <c r="U18" i="6"/>
  <c r="V18" i="6"/>
  <c r="W18" i="6"/>
  <c r="X18" i="6"/>
  <c r="Y18" i="6"/>
  <c r="Z18" i="6"/>
  <c r="AA18" i="6"/>
  <c r="B19" i="6"/>
  <c r="N19" i="6"/>
  <c r="P19" i="6"/>
  <c r="Q19" i="6"/>
  <c r="AB19" i="6" s="1"/>
  <c r="R19" i="6"/>
  <c r="S19" i="6"/>
  <c r="T19" i="6"/>
  <c r="U19" i="6"/>
  <c r="V19" i="6"/>
  <c r="W19" i="6"/>
  <c r="X19" i="6"/>
  <c r="Y19" i="6"/>
  <c r="Z19" i="6"/>
  <c r="AA19" i="6"/>
  <c r="B20" i="6"/>
  <c r="N20" i="6"/>
  <c r="P20" i="6"/>
  <c r="Q20" i="6"/>
  <c r="R20" i="6"/>
  <c r="S20" i="6"/>
  <c r="T20" i="6"/>
  <c r="U20" i="6"/>
  <c r="V20" i="6"/>
  <c r="W20" i="6"/>
  <c r="X20" i="6"/>
  <c r="Y20" i="6"/>
  <c r="Z20" i="6"/>
  <c r="AA20" i="6"/>
  <c r="AB20" i="6"/>
  <c r="B21" i="6"/>
  <c r="N21" i="6"/>
  <c r="P21" i="6"/>
  <c r="Q21" i="6"/>
  <c r="R21" i="6"/>
  <c r="S21" i="6"/>
  <c r="T21" i="6"/>
  <c r="U21" i="6"/>
  <c r="AB21" i="6" s="1"/>
  <c r="V21" i="6"/>
  <c r="W21" i="6"/>
  <c r="X21" i="6"/>
  <c r="Y21" i="6"/>
  <c r="Z21" i="6"/>
  <c r="AA21" i="6"/>
  <c r="B22" i="6"/>
  <c r="N22" i="6"/>
  <c r="P22" i="6"/>
  <c r="Q22" i="6"/>
  <c r="R22" i="6"/>
  <c r="S22" i="6"/>
  <c r="T22" i="6"/>
  <c r="U22" i="6"/>
  <c r="AB22" i="6" s="1"/>
  <c r="V22" i="6"/>
  <c r="W22" i="6"/>
  <c r="X22" i="6"/>
  <c r="Y22" i="6"/>
  <c r="Z22" i="6"/>
  <c r="AA22" i="6"/>
  <c r="B23" i="6"/>
  <c r="N23" i="6"/>
  <c r="P23" i="6"/>
  <c r="Q23" i="6"/>
  <c r="R23" i="6"/>
  <c r="S23" i="6"/>
  <c r="AB23" i="6" s="1"/>
  <c r="T23" i="6"/>
  <c r="U23" i="6"/>
  <c r="V23" i="6"/>
  <c r="W23" i="6"/>
  <c r="X23" i="6"/>
  <c r="Y23" i="6"/>
  <c r="Z23" i="6"/>
  <c r="AA23" i="6"/>
  <c r="B24" i="6"/>
  <c r="N24" i="6"/>
  <c r="P24" i="6"/>
  <c r="Q24" i="6"/>
  <c r="R24" i="6"/>
  <c r="S24" i="6"/>
  <c r="T24" i="6"/>
  <c r="U24" i="6"/>
  <c r="V24" i="6"/>
  <c r="W24" i="6"/>
  <c r="AB24" i="6" s="1"/>
  <c r="X24" i="6"/>
  <c r="Y24" i="6"/>
  <c r="Z24" i="6"/>
  <c r="AA24" i="6"/>
  <c r="B25" i="6"/>
  <c r="N25" i="6"/>
  <c r="P25" i="6"/>
  <c r="Q25" i="6"/>
  <c r="AB25" i="6" s="1"/>
  <c r="R25" i="6"/>
  <c r="S25" i="6"/>
  <c r="T25" i="6"/>
  <c r="U25" i="6"/>
  <c r="V25" i="6"/>
  <c r="W25" i="6"/>
  <c r="X25" i="6"/>
  <c r="Y25" i="6"/>
  <c r="Z25" i="6"/>
  <c r="AA25" i="6"/>
  <c r="B26" i="6"/>
  <c r="N26" i="6"/>
  <c r="P26" i="6"/>
  <c r="Q26" i="6"/>
  <c r="AB26" i="6" s="1"/>
  <c r="R26" i="6"/>
  <c r="S26" i="6"/>
  <c r="T26" i="6"/>
  <c r="U26" i="6"/>
  <c r="V26" i="6"/>
  <c r="W26" i="6"/>
  <c r="X26" i="6"/>
  <c r="Y26" i="6"/>
  <c r="Z26" i="6"/>
  <c r="AA26" i="6"/>
  <c r="B27" i="6"/>
  <c r="N27" i="6"/>
  <c r="P27" i="6"/>
  <c r="Q27" i="6"/>
  <c r="AB27" i="6" s="1"/>
  <c r="R27" i="6"/>
  <c r="S27" i="6"/>
  <c r="T27" i="6"/>
  <c r="U27" i="6"/>
  <c r="V27" i="6"/>
  <c r="W27" i="6"/>
  <c r="X27" i="6"/>
  <c r="Y27" i="6"/>
  <c r="Z27" i="6"/>
  <c r="AA27" i="6"/>
  <c r="B28" i="6"/>
  <c r="N28" i="6"/>
  <c r="P28" i="6"/>
  <c r="Q28" i="6"/>
  <c r="R28" i="6"/>
  <c r="S28" i="6"/>
  <c r="T28" i="6"/>
  <c r="U28" i="6"/>
  <c r="V28" i="6"/>
  <c r="W28" i="6"/>
  <c r="X28" i="6"/>
  <c r="Y28" i="6"/>
  <c r="Z28" i="6"/>
  <c r="AA28" i="6"/>
  <c r="AB28" i="6"/>
  <c r="R1" i="6"/>
  <c r="S1" i="6"/>
  <c r="T1" i="6"/>
  <c r="U1" i="6"/>
  <c r="V1" i="6"/>
  <c r="W1" i="6"/>
  <c r="X1" i="6"/>
  <c r="Y1" i="6"/>
  <c r="Z1" i="6"/>
  <c r="AA1" i="6"/>
  <c r="R4" i="6"/>
  <c r="S4" i="6"/>
  <c r="T4" i="6"/>
  <c r="U4" i="6"/>
  <c r="V4" i="6"/>
  <c r="W4" i="6"/>
  <c r="X4" i="6"/>
  <c r="Y4" i="6"/>
  <c r="Z4" i="6"/>
  <c r="AA4" i="6"/>
  <c r="N4" i="6"/>
  <c r="D2" i="6"/>
  <c r="R2" i="6" s="1"/>
  <c r="E2" i="6"/>
  <c r="S2" i="6" s="1"/>
  <c r="F2" i="6"/>
  <c r="T2" i="6" s="1"/>
  <c r="G2" i="6"/>
  <c r="U2" i="6" s="1"/>
  <c r="H2" i="6"/>
  <c r="V2" i="6" s="1"/>
  <c r="I2" i="6"/>
  <c r="W2" i="6" s="1"/>
  <c r="J2" i="6"/>
  <c r="X2" i="6" s="1"/>
  <c r="K2" i="6"/>
  <c r="Y2" i="6" s="1"/>
  <c r="L2" i="6"/>
  <c r="Z2" i="6" s="1"/>
  <c r="M2" i="6"/>
  <c r="AA2" i="6" s="1"/>
  <c r="D29" i="6"/>
  <c r="E29" i="6"/>
  <c r="F29" i="6"/>
  <c r="G29" i="6"/>
  <c r="H29" i="6"/>
  <c r="I29" i="6"/>
  <c r="J29" i="6"/>
  <c r="K29" i="6"/>
  <c r="L29" i="6"/>
  <c r="M29" i="6"/>
  <c r="G9" i="2"/>
  <c r="H9" i="2"/>
  <c r="I9" i="2"/>
  <c r="J9" i="2"/>
  <c r="G10" i="2"/>
  <c r="H10" i="2"/>
  <c r="AF2" i="11" s="1"/>
  <c r="AM2" i="11" s="1"/>
  <c r="I10" i="2"/>
  <c r="J10" i="2"/>
  <c r="G11" i="2"/>
  <c r="H11" i="2"/>
  <c r="I11" i="2"/>
  <c r="J11" i="2"/>
  <c r="G12" i="2"/>
  <c r="H12" i="2"/>
  <c r="AF4" i="11" s="1"/>
  <c r="I12" i="2"/>
  <c r="J12" i="2"/>
  <c r="G13" i="2"/>
  <c r="H13" i="2"/>
  <c r="I13" i="2"/>
  <c r="J13" i="2"/>
  <c r="F4" i="5"/>
  <c r="G4" i="5"/>
  <c r="H4" i="5"/>
  <c r="I4" i="5"/>
  <c r="J4" i="5"/>
  <c r="K4" i="5"/>
  <c r="L4" i="5"/>
  <c r="M4" i="5"/>
  <c r="N4" i="5"/>
  <c r="O4" i="5"/>
  <c r="P4" i="5"/>
  <c r="Q4" i="5"/>
  <c r="F5" i="5"/>
  <c r="G5" i="5"/>
  <c r="H5" i="5"/>
  <c r="I5" i="5"/>
  <c r="J5" i="5"/>
  <c r="K5" i="5"/>
  <c r="L5" i="5"/>
  <c r="M5" i="5"/>
  <c r="N5" i="5"/>
  <c r="O5" i="5"/>
  <c r="P5" i="5"/>
  <c r="Q5" i="5"/>
  <c r="F6" i="5"/>
  <c r="G6" i="5"/>
  <c r="H6" i="5"/>
  <c r="I6" i="5"/>
  <c r="J6" i="5"/>
  <c r="K6" i="5"/>
  <c r="L6" i="5"/>
  <c r="M6" i="5"/>
  <c r="N6" i="5"/>
  <c r="O6" i="5"/>
  <c r="P6" i="5"/>
  <c r="Q6" i="5"/>
  <c r="F7" i="5"/>
  <c r="G7" i="5"/>
  <c r="H7" i="5"/>
  <c r="I7" i="5"/>
  <c r="J7" i="5"/>
  <c r="K7" i="5"/>
  <c r="L7" i="5"/>
  <c r="M7" i="5"/>
  <c r="N7" i="5"/>
  <c r="O7" i="5"/>
  <c r="P7" i="5"/>
  <c r="Q7" i="5"/>
  <c r="D7" i="20"/>
  <c r="B3" i="20"/>
  <c r="B1" i="20"/>
  <c r="G13" i="19"/>
  <c r="G12" i="19"/>
  <c r="K1" i="19" s="1"/>
  <c r="H10" i="19"/>
  <c r="G10" i="19"/>
  <c r="H9" i="19"/>
  <c r="K9" i="19" s="1"/>
  <c r="G9" i="19"/>
  <c r="D13" i="18"/>
  <c r="B13" i="18"/>
  <c r="D12" i="18"/>
  <c r="J8" i="18"/>
  <c r="B5" i="18"/>
  <c r="B2" i="18"/>
  <c r="B1" i="18"/>
  <c r="B6" i="17"/>
  <c r="A4" i="17"/>
  <c r="A1" i="17"/>
  <c r="B2" i="16"/>
  <c r="H2" i="15"/>
  <c r="F2" i="15"/>
  <c r="E2" i="15"/>
  <c r="D2" i="15"/>
  <c r="C2" i="15"/>
  <c r="B2" i="15"/>
  <c r="E1" i="15"/>
  <c r="D1" i="15"/>
  <c r="C1" i="15"/>
  <c r="B1" i="15"/>
  <c r="A3" i="14"/>
  <c r="A1" i="14"/>
  <c r="A1" i="13"/>
  <c r="J5" i="12"/>
  <c r="AD5" i="11"/>
  <c r="AC5" i="11"/>
  <c r="AA5" i="11"/>
  <c r="Z5" i="11"/>
  <c r="T5" i="11"/>
  <c r="AB5" i="11"/>
  <c r="AE4" i="11"/>
  <c r="AE3" i="11"/>
  <c r="AE2" i="11"/>
  <c r="AB2" i="11"/>
  <c r="AA2" i="11"/>
  <c r="AJ1" i="11"/>
  <c r="Y1" i="11"/>
  <c r="X1" i="11"/>
  <c r="K1" i="11"/>
  <c r="W3" i="10"/>
  <c r="O3" i="10"/>
  <c r="Q7" i="10"/>
  <c r="R7" i="10" s="1"/>
  <c r="D3" i="10"/>
  <c r="C3" i="10"/>
  <c r="B3" i="10"/>
  <c r="A3" i="10"/>
  <c r="C2" i="10"/>
  <c r="B2" i="10"/>
  <c r="A2" i="10"/>
  <c r="I7" i="9"/>
  <c r="E7" i="9"/>
  <c r="A7" i="9"/>
  <c r="B7" i="9" s="1"/>
  <c r="S2" i="9"/>
  <c r="G2" i="9"/>
  <c r="F2" i="9"/>
  <c r="AA3" i="9" s="1"/>
  <c r="C4" i="8"/>
  <c r="B4" i="8"/>
  <c r="D3" i="8"/>
  <c r="D2" i="8"/>
  <c r="Q4" i="7"/>
  <c r="Q3" i="7" s="1"/>
  <c r="B4" i="7"/>
  <c r="A4" i="7"/>
  <c r="P4" i="7" s="1"/>
  <c r="C2" i="7"/>
  <c r="Q2" i="7" s="1"/>
  <c r="C29" i="6"/>
  <c r="C3" i="7" s="1"/>
  <c r="Q4" i="6"/>
  <c r="P4" i="6"/>
  <c r="B4" i="6"/>
  <c r="P2" i="6"/>
  <c r="C2" i="6"/>
  <c r="Q2" i="6" s="1"/>
  <c r="Q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K13" i="2"/>
  <c r="E11" i="2"/>
  <c r="E10" i="2"/>
  <c r="E9" i="2"/>
  <c r="E8" i="2"/>
  <c r="E7" i="2"/>
  <c r="E6" i="2"/>
  <c r="E5" i="2"/>
  <c r="E4" i="2"/>
  <c r="H3" i="2"/>
  <c r="E3" i="2"/>
  <c r="H2" i="2"/>
  <c r="H1" i="2"/>
  <c r="C2" i="1" s="1"/>
  <c r="K16" i="1"/>
  <c r="C5" i="1"/>
  <c r="C4" i="1"/>
  <c r="C3" i="1"/>
  <c r="M15" i="1" s="1"/>
  <c r="K24" i="12" l="1"/>
  <c r="K7" i="12"/>
  <c r="K15" i="12"/>
  <c r="D26" i="9"/>
  <c r="G28" i="9"/>
  <c r="H28" i="9" s="1"/>
  <c r="C28" i="9" s="1"/>
  <c r="G29" i="9"/>
  <c r="H29" i="9" s="1"/>
  <c r="C29" i="9" s="1"/>
  <c r="G13" i="9"/>
  <c r="H13" i="9" s="1"/>
  <c r="C13" i="9" s="1"/>
  <c r="K17" i="12"/>
  <c r="K16" i="12"/>
  <c r="K19" i="12"/>
  <c r="U15" i="12"/>
  <c r="K4" i="12"/>
  <c r="W15" i="12"/>
  <c r="K28" i="12"/>
  <c r="W7" i="12"/>
  <c r="U7" i="12"/>
  <c r="W13" i="12"/>
  <c r="W17" i="12"/>
  <c r="W9" i="12"/>
  <c r="T15" i="12"/>
  <c r="T7" i="12"/>
  <c r="T9" i="12"/>
  <c r="S22" i="12"/>
  <c r="T22" i="12"/>
  <c r="U22" i="12"/>
  <c r="W22" i="12"/>
  <c r="X22" i="12"/>
  <c r="S4" i="12"/>
  <c r="T4" i="12"/>
  <c r="U4" i="12"/>
  <c r="W4" i="12"/>
  <c r="X4" i="12"/>
  <c r="S16" i="12"/>
  <c r="T16" i="12"/>
  <c r="U16" i="12"/>
  <c r="W16" i="12"/>
  <c r="X16" i="12"/>
  <c r="U6" i="12"/>
  <c r="J26" i="12"/>
  <c r="U8" i="12"/>
  <c r="J20" i="12"/>
  <c r="U21" i="12"/>
  <c r="J12" i="12"/>
  <c r="R25" i="12"/>
  <c r="T6" i="12"/>
  <c r="I26" i="12"/>
  <c r="R14" i="12"/>
  <c r="T8" i="12"/>
  <c r="I20" i="12"/>
  <c r="R27" i="12"/>
  <c r="T21" i="12"/>
  <c r="I12" i="12"/>
  <c r="X24" i="12"/>
  <c r="M25" i="12"/>
  <c r="R10" i="12"/>
  <c r="S6" i="12"/>
  <c r="H26" i="12"/>
  <c r="X13" i="12"/>
  <c r="M14" i="12"/>
  <c r="R23" i="12"/>
  <c r="S8" i="12"/>
  <c r="H20" i="12"/>
  <c r="X17" i="12"/>
  <c r="M27" i="12"/>
  <c r="R11" i="12"/>
  <c r="S21" i="12"/>
  <c r="H12" i="12"/>
  <c r="U9" i="12"/>
  <c r="I9" i="12"/>
  <c r="K9" i="12" s="1"/>
  <c r="J18" i="12"/>
  <c r="K18" i="12" s="1"/>
  <c r="W24" i="12"/>
  <c r="L25" i="12"/>
  <c r="I22" i="12"/>
  <c r="K22" i="12" s="1"/>
  <c r="L10" i="12"/>
  <c r="M6" i="12"/>
  <c r="R26" i="12"/>
  <c r="S15" i="12"/>
  <c r="H28" i="12"/>
  <c r="L23" i="12"/>
  <c r="M8" i="12"/>
  <c r="R20" i="12"/>
  <c r="S7" i="12"/>
  <c r="H19" i="12"/>
  <c r="L11" i="12"/>
  <c r="R12" i="12"/>
  <c r="S9" i="12"/>
  <c r="H18" i="12"/>
  <c r="U24" i="12"/>
  <c r="J25" i="12"/>
  <c r="X6" i="12"/>
  <c r="L6" i="12"/>
  <c r="M26" i="12"/>
  <c r="U13" i="12"/>
  <c r="J14" i="12"/>
  <c r="X8" i="12"/>
  <c r="L8" i="12"/>
  <c r="M20" i="12"/>
  <c r="U17" i="12"/>
  <c r="J27" i="12"/>
  <c r="X21" i="12"/>
  <c r="M12" i="12"/>
  <c r="T24" i="12"/>
  <c r="I25" i="12"/>
  <c r="J10" i="12"/>
  <c r="K10" i="12" s="1"/>
  <c r="W6" i="12"/>
  <c r="K6" i="12"/>
  <c r="L26" i="12"/>
  <c r="M15" i="12"/>
  <c r="R28" i="12"/>
  <c r="T13" i="12"/>
  <c r="I14" i="12"/>
  <c r="J23" i="12"/>
  <c r="K23" i="12" s="1"/>
  <c r="W8" i="12"/>
  <c r="K8" i="12"/>
  <c r="L20" i="12"/>
  <c r="M7" i="12"/>
  <c r="R19" i="12"/>
  <c r="T17" i="12"/>
  <c r="I27" i="12"/>
  <c r="J11" i="12"/>
  <c r="K11" i="12" s="1"/>
  <c r="W21" i="12"/>
  <c r="K21" i="12"/>
  <c r="L12" i="12"/>
  <c r="M9" i="12"/>
  <c r="R18" i="12"/>
  <c r="H5" i="12"/>
  <c r="L5" i="12"/>
  <c r="G2" i="12"/>
  <c r="AB57" i="11"/>
  <c r="AB49" i="11"/>
  <c r="AB41" i="11"/>
  <c r="AB37" i="11"/>
  <c r="AB29" i="11"/>
  <c r="AB21" i="11"/>
  <c r="AB17" i="11"/>
  <c r="AB13" i="11"/>
  <c r="AB9" i="11"/>
  <c r="AB88" i="11"/>
  <c r="AB76" i="11"/>
  <c r="AB68" i="11"/>
  <c r="AB56" i="11"/>
  <c r="AB48" i="11"/>
  <c r="AB40" i="11"/>
  <c r="AB36" i="11"/>
  <c r="AB28" i="11"/>
  <c r="AB24" i="11"/>
  <c r="AB20" i="11"/>
  <c r="AB16" i="11"/>
  <c r="AB12" i="11"/>
  <c r="AB8" i="11"/>
  <c r="AB75" i="11"/>
  <c r="AB59" i="11"/>
  <c r="AB51" i="11"/>
  <c r="AB47" i="11"/>
  <c r="AB39" i="11"/>
  <c r="AB31" i="11"/>
  <c r="AB27" i="11"/>
  <c r="AB23" i="11"/>
  <c r="AB19" i="11"/>
  <c r="AB15" i="11"/>
  <c r="AB11" i="11"/>
  <c r="AB7" i="11"/>
  <c r="AL26" i="11"/>
  <c r="AB98" i="11"/>
  <c r="AB78" i="11"/>
  <c r="AB74" i="11"/>
  <c r="AB66" i="11"/>
  <c r="AB58" i="11"/>
  <c r="AB50" i="11"/>
  <c r="AB42" i="11"/>
  <c r="AB38" i="11"/>
  <c r="AB30" i="11"/>
  <c r="AB26" i="11"/>
  <c r="AB22" i="11"/>
  <c r="AB18" i="11"/>
  <c r="AB14" i="11"/>
  <c r="AB10" i="11"/>
  <c r="AB6" i="11"/>
  <c r="AL8" i="11"/>
  <c r="D20" i="9"/>
  <c r="G21" i="9"/>
  <c r="H21" i="9" s="1"/>
  <c r="C21" i="9" s="1"/>
  <c r="G25" i="9"/>
  <c r="H25" i="9" s="1"/>
  <c r="C25" i="9" s="1"/>
  <c r="G23" i="9"/>
  <c r="H23" i="9" s="1"/>
  <c r="C23" i="9" s="1"/>
  <c r="S10" i="10"/>
  <c r="T10" i="10" s="1"/>
  <c r="E3" i="10"/>
  <c r="S12" i="10"/>
  <c r="T12" i="10" s="1"/>
  <c r="Q9" i="10"/>
  <c r="R9" i="10" s="1"/>
  <c r="S8" i="10"/>
  <c r="T8" i="10" s="1"/>
  <c r="S6" i="10"/>
  <c r="T6" i="10" s="1"/>
  <c r="Q12" i="10"/>
  <c r="R12" i="10" s="1"/>
  <c r="Q5" i="10"/>
  <c r="R5" i="10" s="1"/>
  <c r="E26" i="10"/>
  <c r="E18" i="10"/>
  <c r="E10" i="10"/>
  <c r="Q8" i="10"/>
  <c r="R8" i="10" s="1"/>
  <c r="S4" i="10"/>
  <c r="T4" i="10" s="1"/>
  <c r="Q11" i="10"/>
  <c r="R11" i="10" s="1"/>
  <c r="S7" i="10"/>
  <c r="T7" i="10" s="1"/>
  <c r="W7" i="10"/>
  <c r="E27" i="10"/>
  <c r="S11" i="10"/>
  <c r="T11" i="10" s="1"/>
  <c r="D27" i="9"/>
  <c r="D18" i="9"/>
  <c r="D19" i="9"/>
  <c r="D11" i="9"/>
  <c r="G15" i="9"/>
  <c r="H15" i="9" s="1"/>
  <c r="C15" i="9" s="1"/>
  <c r="D22" i="18"/>
  <c r="B23" i="18"/>
  <c r="G11" i="19"/>
  <c r="F7" i="19"/>
  <c r="E7" i="19"/>
  <c r="K10" i="19"/>
  <c r="K11" i="19" s="1"/>
  <c r="N1" i="11"/>
  <c r="AG3" i="11"/>
  <c r="AN3" i="11" s="1"/>
  <c r="M52" i="11"/>
  <c r="L52" i="11"/>
  <c r="M16" i="10"/>
  <c r="K14" i="10"/>
  <c r="L11" i="10"/>
  <c r="M8" i="10"/>
  <c r="K6" i="10"/>
  <c r="L3" i="10"/>
  <c r="P9" i="10"/>
  <c r="P5" i="10"/>
  <c r="K3" i="10"/>
  <c r="Q10" i="10"/>
  <c r="R10" i="10" s="1"/>
  <c r="Q6" i="10"/>
  <c r="R6" i="10" s="1"/>
  <c r="M26" i="10"/>
  <c r="K24" i="10"/>
  <c r="L21" i="10"/>
  <c r="M18" i="10"/>
  <c r="K16" i="10"/>
  <c r="L13" i="10"/>
  <c r="M10" i="10"/>
  <c r="K8" i="10"/>
  <c r="L5" i="10"/>
  <c r="P10" i="10"/>
  <c r="P6" i="10"/>
  <c r="S9" i="10"/>
  <c r="T9" i="10" s="1"/>
  <c r="S5" i="10"/>
  <c r="T5" i="10" s="1"/>
  <c r="Q4" i="10"/>
  <c r="R4" i="10" s="1"/>
  <c r="L25" i="10"/>
  <c r="M22" i="10"/>
  <c r="K20" i="10"/>
  <c r="L17" i="10"/>
  <c r="M14" i="10"/>
  <c r="K12" i="10"/>
  <c r="L9" i="10"/>
  <c r="M6" i="10"/>
  <c r="K4" i="10"/>
  <c r="L22" i="10"/>
  <c r="M19" i="10"/>
  <c r="K17" i="10"/>
  <c r="L14" i="10"/>
  <c r="M11" i="10"/>
  <c r="K9" i="10"/>
  <c r="L6" i="10"/>
  <c r="M3" i="10"/>
  <c r="J21" i="10"/>
  <c r="J13" i="10"/>
  <c r="J5" i="10"/>
  <c r="J24" i="10"/>
  <c r="E21" i="10"/>
  <c r="J16" i="10"/>
  <c r="E13" i="10"/>
  <c r="J8" i="10"/>
  <c r="E5" i="10"/>
  <c r="J27" i="10"/>
  <c r="E24" i="10"/>
  <c r="J19" i="10"/>
  <c r="E16" i="10"/>
  <c r="J11" i="10"/>
  <c r="E8" i="10"/>
  <c r="J22" i="10"/>
  <c r="J14" i="10"/>
  <c r="J6" i="10"/>
  <c r="J25" i="10"/>
  <c r="J17" i="10"/>
  <c r="J9" i="10"/>
  <c r="E25" i="10"/>
  <c r="J20" i="10"/>
  <c r="E17" i="10"/>
  <c r="J12" i="10"/>
  <c r="E9" i="10"/>
  <c r="J4" i="10"/>
  <c r="J3" i="10"/>
  <c r="J23" i="10"/>
  <c r="E20" i="10"/>
  <c r="J15" i="10"/>
  <c r="E12" i="10"/>
  <c r="J7" i="10"/>
  <c r="E4" i="10"/>
  <c r="J26" i="10"/>
  <c r="E23" i="10"/>
  <c r="J18" i="10"/>
  <c r="E15" i="10"/>
  <c r="J10" i="10"/>
  <c r="E7" i="10"/>
  <c r="S3" i="10"/>
  <c r="T3" i="10" s="1"/>
  <c r="G17" i="9"/>
  <c r="H17" i="9" s="1"/>
  <c r="C17" i="9" s="1"/>
  <c r="G9" i="9"/>
  <c r="H9" i="9" s="1"/>
  <c r="C9" i="9" s="1"/>
  <c r="G24" i="9"/>
  <c r="H24" i="9" s="1"/>
  <c r="C24" i="9" s="1"/>
  <c r="G16" i="9"/>
  <c r="H16" i="9" s="1"/>
  <c r="C16" i="9" s="1"/>
  <c r="G8" i="9"/>
  <c r="H8" i="9" s="1"/>
  <c r="C8" i="9" s="1"/>
  <c r="G30" i="9"/>
  <c r="H30" i="9" s="1"/>
  <c r="C30" i="9" s="1"/>
  <c r="G22" i="9"/>
  <c r="H22" i="9" s="1"/>
  <c r="C22" i="9" s="1"/>
  <c r="G14" i="9"/>
  <c r="H14" i="9" s="1"/>
  <c r="C14" i="9" s="1"/>
  <c r="Z3" i="9"/>
  <c r="Z4" i="9" s="1"/>
  <c r="Z5" i="9" s="1"/>
  <c r="Y3" i="9"/>
  <c r="AA4" i="9"/>
  <c r="AA5" i="9" s="1"/>
  <c r="X3" i="9"/>
  <c r="X4" i="9" s="1"/>
  <c r="X5" i="9" s="1"/>
  <c r="W3" i="9"/>
  <c r="W4" i="9" s="1"/>
  <c r="W5" i="9" s="1"/>
  <c r="V3" i="9"/>
  <c r="V4" i="9" s="1"/>
  <c r="V5" i="9" s="1"/>
  <c r="U3" i="9"/>
  <c r="U4" i="9" s="1"/>
  <c r="U5" i="9" s="1"/>
  <c r="AB3" i="9"/>
  <c r="T3" i="9"/>
  <c r="T4" i="9" s="1"/>
  <c r="T5" i="9" s="1"/>
  <c r="Y4" i="9"/>
  <c r="Y5" i="9" s="1"/>
  <c r="E3" i="9"/>
  <c r="Q3" i="10"/>
  <c r="R3" i="10" s="1"/>
  <c r="F7" i="9"/>
  <c r="D7" i="9" s="1"/>
  <c r="W3" i="7"/>
  <c r="T3" i="7"/>
  <c r="AA3" i="7"/>
  <c r="S3" i="7"/>
  <c r="Z3" i="7"/>
  <c r="R3" i="7"/>
  <c r="Y3" i="7"/>
  <c r="X3" i="7"/>
  <c r="AB3" i="7" s="1"/>
  <c r="AB4" i="7"/>
  <c r="AA3" i="6"/>
  <c r="S3" i="6"/>
  <c r="Z3" i="6"/>
  <c r="R3" i="6"/>
  <c r="Q3" i="6"/>
  <c r="Y3" i="6"/>
  <c r="X3" i="6"/>
  <c r="U3" i="6"/>
  <c r="W3" i="6"/>
  <c r="T3" i="6"/>
  <c r="V3" i="6"/>
  <c r="D5" i="19"/>
  <c r="D6" i="19" s="1"/>
  <c r="G6" i="19" s="1"/>
  <c r="AI4" i="11"/>
  <c r="AM4" i="11"/>
  <c r="K13" i="1"/>
  <c r="K17" i="1" s="1"/>
  <c r="M5" i="12"/>
  <c r="W2" i="10"/>
  <c r="R5" i="12"/>
  <c r="P3" i="10"/>
  <c r="W4" i="10"/>
  <c r="N3" i="11"/>
  <c r="AB4" i="6"/>
  <c r="W1" i="11"/>
  <c r="AF3" i="11"/>
  <c r="I5" i="12"/>
  <c r="K5" i="12" s="1"/>
  <c r="S3" i="9"/>
  <c r="V9" i="12" l="1"/>
  <c r="V22" i="12"/>
  <c r="V4" i="12"/>
  <c r="V15" i="12"/>
  <c r="V24" i="12"/>
  <c r="K25" i="12"/>
  <c r="V6" i="12"/>
  <c r="V7" i="12"/>
  <c r="V16" i="12"/>
  <c r="K27" i="12"/>
  <c r="K12" i="12"/>
  <c r="V21" i="12"/>
  <c r="L2" i="12"/>
  <c r="J2" i="12"/>
  <c r="K26" i="12"/>
  <c r="V17" i="12"/>
  <c r="V8" i="12"/>
  <c r="V13" i="12"/>
  <c r="K14" i="12"/>
  <c r="K20" i="12"/>
  <c r="H2" i="12"/>
  <c r="T27" i="12"/>
  <c r="U27" i="12"/>
  <c r="W27" i="12"/>
  <c r="X27" i="12"/>
  <c r="S27" i="12"/>
  <c r="U11" i="12"/>
  <c r="W11" i="12"/>
  <c r="X11" i="12"/>
  <c r="S11" i="12"/>
  <c r="T11" i="12"/>
  <c r="U10" i="12"/>
  <c r="W10" i="12"/>
  <c r="X10" i="12"/>
  <c r="S10" i="12"/>
  <c r="T10" i="12"/>
  <c r="T14" i="12"/>
  <c r="U14" i="12"/>
  <c r="W14" i="12"/>
  <c r="X14" i="12"/>
  <c r="S14" i="12"/>
  <c r="S18" i="12"/>
  <c r="T18" i="12"/>
  <c r="U18" i="12"/>
  <c r="W18" i="12"/>
  <c r="X18" i="12"/>
  <c r="S19" i="12"/>
  <c r="T19" i="12"/>
  <c r="U19" i="12"/>
  <c r="W19" i="12"/>
  <c r="X19" i="12"/>
  <c r="S28" i="12"/>
  <c r="T28" i="12"/>
  <c r="U28" i="12"/>
  <c r="W28" i="12"/>
  <c r="X28" i="12"/>
  <c r="W26" i="12"/>
  <c r="X26" i="12"/>
  <c r="S26" i="12"/>
  <c r="T26" i="12"/>
  <c r="U26" i="12"/>
  <c r="W12" i="12"/>
  <c r="X12" i="12"/>
  <c r="S12" i="12"/>
  <c r="T12" i="12"/>
  <c r="U12" i="12"/>
  <c r="M2" i="12"/>
  <c r="W20" i="12"/>
  <c r="X20" i="12"/>
  <c r="S20" i="12"/>
  <c r="T20" i="12"/>
  <c r="U20" i="12"/>
  <c r="U23" i="12"/>
  <c r="W23" i="12"/>
  <c r="X23" i="12"/>
  <c r="S23" i="12"/>
  <c r="T23" i="12"/>
  <c r="T25" i="12"/>
  <c r="U25" i="12"/>
  <c r="W25" i="12"/>
  <c r="X25" i="12"/>
  <c r="S25" i="12"/>
  <c r="D7" i="19"/>
  <c r="H5" i="19"/>
  <c r="L97" i="11"/>
  <c r="O52" i="11"/>
  <c r="K52" i="11"/>
  <c r="N52" i="11" s="1"/>
  <c r="AB4" i="9"/>
  <c r="AB5" i="9" s="1"/>
  <c r="G7" i="9"/>
  <c r="H7" i="9" s="1"/>
  <c r="F3" i="9"/>
  <c r="H6" i="19"/>
  <c r="AM3" i="11"/>
  <c r="AI3" i="11"/>
  <c r="K19" i="1"/>
  <c r="X4" i="10"/>
  <c r="S4" i="9"/>
  <c r="S5" i="9" s="1"/>
  <c r="H7" i="19"/>
  <c r="G7" i="19"/>
  <c r="G15" i="19" s="1"/>
  <c r="G14" i="19" s="1"/>
  <c r="I2" i="12"/>
  <c r="X5" i="12"/>
  <c r="W5" i="12"/>
  <c r="U5" i="12"/>
  <c r="T5" i="12"/>
  <c r="S5" i="12"/>
  <c r="R2" i="12"/>
  <c r="W6" i="10"/>
  <c r="W5" i="10"/>
  <c r="X5" i="10" s="1"/>
  <c r="K2" i="12" l="1"/>
  <c r="V25" i="12"/>
  <c r="V12" i="12"/>
  <c r="V28" i="12"/>
  <c r="V27" i="12"/>
  <c r="V18" i="12"/>
  <c r="V19" i="12"/>
  <c r="V20" i="12"/>
  <c r="V10" i="12"/>
  <c r="V5" i="12"/>
  <c r="V23" i="12"/>
  <c r="V26" i="12"/>
  <c r="V14" i="12"/>
  <c r="V11" i="12"/>
  <c r="S2" i="12"/>
  <c r="U2" i="12"/>
  <c r="W2" i="12"/>
  <c r="L48" i="11"/>
  <c r="M97" i="11"/>
  <c r="O97" i="11"/>
  <c r="K97" i="11"/>
  <c r="X2" i="12"/>
  <c r="T2" i="12"/>
  <c r="C7" i="9"/>
  <c r="H3" i="9"/>
  <c r="G3" i="9"/>
  <c r="V2" i="12" l="1"/>
  <c r="N97" i="11"/>
  <c r="K48" i="11"/>
  <c r="O48" i="11"/>
  <c r="M48" i="11"/>
  <c r="L6" i="11"/>
  <c r="K32" i="11" l="1"/>
  <c r="O32" i="11"/>
  <c r="M6" i="11"/>
  <c r="N48" i="11"/>
  <c r="L32" i="11"/>
  <c r="K6" i="11"/>
  <c r="O6" i="11"/>
  <c r="M32" i="11" l="1"/>
  <c r="N32" i="11" s="1"/>
  <c r="N6" i="11"/>
  <c r="K57" i="11"/>
  <c r="M45" i="11"/>
  <c r="O45" i="11"/>
  <c r="K45" i="11"/>
  <c r="L45" i="11"/>
  <c r="O57" i="11" l="1"/>
  <c r="K23" i="11"/>
  <c r="M57" i="11"/>
  <c r="L57" i="11"/>
  <c r="N45" i="11"/>
  <c r="M61" i="11" l="1"/>
  <c r="M23" i="11"/>
  <c r="L23" i="11"/>
  <c r="O23" i="11"/>
  <c r="K61" i="11"/>
  <c r="N57" i="11"/>
  <c r="O61" i="11" l="1"/>
  <c r="N23" i="11"/>
  <c r="K69" i="11"/>
  <c r="L61" i="11"/>
  <c r="N61" i="11" s="1"/>
  <c r="K58" i="11"/>
  <c r="O58" i="11"/>
  <c r="M58" i="11"/>
  <c r="K20" i="11" l="1"/>
  <c r="O69" i="11"/>
  <c r="L69" i="11"/>
  <c r="L58" i="11"/>
  <c r="N58" i="11" s="1"/>
  <c r="M69" i="11"/>
  <c r="K53" i="11"/>
  <c r="N69" i="11" l="1"/>
  <c r="K93" i="11"/>
  <c r="M53" i="11"/>
  <c r="L53" i="11"/>
  <c r="N53" i="11" s="1"/>
  <c r="O53" i="11"/>
  <c r="M20" i="11"/>
  <c r="K12" i="11"/>
  <c r="P6" i="11" l="1"/>
  <c r="Q6" i="11" s="1"/>
  <c r="M93" i="11"/>
  <c r="L20" i="11"/>
  <c r="N20" i="11" s="1"/>
  <c r="O20" i="11"/>
  <c r="K36" i="11" l="1"/>
  <c r="L12" i="11"/>
  <c r="O12" i="11"/>
  <c r="M36" i="11"/>
  <c r="M12" i="11"/>
  <c r="L93" i="11"/>
  <c r="N93" i="11" s="1"/>
  <c r="O93" i="11"/>
  <c r="K65" i="11" l="1"/>
  <c r="M16" i="11"/>
  <c r="L65" i="11"/>
  <c r="O65" i="11"/>
  <c r="N12" i="11"/>
  <c r="M65" i="11"/>
  <c r="L36" i="11"/>
  <c r="N36" i="11" s="1"/>
  <c r="O36" i="11"/>
  <c r="K16" i="11" l="1"/>
  <c r="N65" i="11"/>
  <c r="L34" i="11"/>
  <c r="L16" i="11"/>
  <c r="N16" i="11" s="1"/>
  <c r="O16" i="11"/>
  <c r="K92" i="11" l="1"/>
  <c r="M34" i="11"/>
  <c r="O34" i="11"/>
  <c r="K34" i="11"/>
  <c r="M92" i="11"/>
  <c r="O92" i="11"/>
  <c r="L92" i="11"/>
  <c r="N34" i="11" l="1"/>
  <c r="N92" i="11"/>
  <c r="K43" i="11"/>
  <c r="K19" i="11"/>
  <c r="O19" i="11"/>
  <c r="L19" i="11"/>
  <c r="O43" i="11"/>
  <c r="L43" i="11"/>
  <c r="M19" i="11"/>
  <c r="K30" i="11" l="1"/>
  <c r="M43" i="11"/>
  <c r="N43" i="11" s="1"/>
  <c r="L30" i="11"/>
  <c r="O30" i="11"/>
  <c r="N19" i="11"/>
  <c r="L56" i="11"/>
  <c r="M30" i="11"/>
  <c r="K25" i="11" l="1"/>
  <c r="K56" i="11"/>
  <c r="L17" i="11"/>
  <c r="M56" i="11"/>
  <c r="O56" i="11"/>
  <c r="L25" i="11"/>
  <c r="N30" i="11"/>
  <c r="N56" i="11" l="1"/>
  <c r="K17" i="11"/>
  <c r="M17" i="11"/>
  <c r="O25" i="11"/>
  <c r="O17" i="11"/>
  <c r="L67" i="11"/>
  <c r="M25" i="11"/>
  <c r="N25" i="11" s="1"/>
  <c r="L73" i="11"/>
  <c r="N17" i="11" l="1"/>
  <c r="K67" i="11"/>
  <c r="M67" i="11"/>
  <c r="O67" i="11"/>
  <c r="L60" i="11"/>
  <c r="N67" i="11" l="1"/>
  <c r="M60" i="11"/>
  <c r="K60" i="11"/>
  <c r="K73" i="11"/>
  <c r="M73" i="11"/>
  <c r="O73" i="11"/>
  <c r="L55" i="11"/>
  <c r="N60" i="11" l="1"/>
  <c r="K71" i="11"/>
  <c r="O60" i="11"/>
  <c r="L71" i="11"/>
  <c r="K55" i="11"/>
  <c r="N73" i="11"/>
  <c r="L14" i="11"/>
  <c r="K87" i="11" l="1"/>
  <c r="O55" i="11"/>
  <c r="M14" i="11"/>
  <c r="M55" i="11"/>
  <c r="N55" i="11" s="1"/>
  <c r="K14" i="11"/>
  <c r="M71" i="11"/>
  <c r="N71" i="11" s="1"/>
  <c r="O71" i="11"/>
  <c r="L87" i="11"/>
  <c r="O87" i="11"/>
  <c r="L79" i="11"/>
  <c r="N14" i="11" l="1"/>
  <c r="K79" i="11"/>
  <c r="O14" i="11"/>
  <c r="M79" i="11"/>
  <c r="M87" i="11"/>
  <c r="N87" i="11" s="1"/>
  <c r="O79" i="11"/>
  <c r="L94" i="11"/>
  <c r="K15" i="11" l="1"/>
  <c r="K94" i="11"/>
  <c r="N79" i="11"/>
  <c r="M94" i="11"/>
  <c r="O94" i="11"/>
  <c r="L15" i="11"/>
  <c r="K40" i="11"/>
  <c r="N94" i="11" l="1"/>
  <c r="M15" i="11"/>
  <c r="N15" i="11" s="1"/>
  <c r="P25" i="11" s="1"/>
  <c r="Q25" i="11" s="1"/>
  <c r="O40" i="11"/>
  <c r="O15" i="11"/>
  <c r="L84" i="11"/>
  <c r="L40" i="11"/>
  <c r="K84" i="11" l="1"/>
  <c r="M40" i="11"/>
  <c r="N40" i="11" s="1"/>
  <c r="K82" i="11" l="1"/>
  <c r="K78" i="11"/>
  <c r="L78" i="11"/>
  <c r="M84" i="11"/>
  <c r="N84" i="11" s="1"/>
  <c r="O84" i="11"/>
  <c r="K95" i="11" l="1"/>
  <c r="L82" i="11"/>
  <c r="M78" i="11"/>
  <c r="N78" i="11" s="1"/>
  <c r="O78" i="11"/>
  <c r="K51" i="11" l="1"/>
  <c r="L51" i="11"/>
  <c r="L95" i="11"/>
  <c r="M82" i="11"/>
  <c r="N82" i="11" s="1"/>
  <c r="O82" i="11"/>
  <c r="L76" i="11"/>
  <c r="K39" i="11" l="1"/>
  <c r="K76" i="11"/>
  <c r="M95" i="11"/>
  <c r="N95" i="11" s="1"/>
  <c r="O95" i="11"/>
  <c r="L39" i="11"/>
  <c r="K63" i="11" l="1"/>
  <c r="L24" i="11"/>
  <c r="K24" i="11"/>
  <c r="M51" i="11"/>
  <c r="N51" i="11" s="1"/>
  <c r="O51" i="11"/>
  <c r="L63" i="11"/>
  <c r="K49" i="11" l="1"/>
  <c r="M39" i="11"/>
  <c r="N39" i="11" s="1"/>
  <c r="O39" i="11"/>
  <c r="M76" i="11"/>
  <c r="N76" i="11" s="1"/>
  <c r="O76" i="11"/>
  <c r="L49" i="11"/>
  <c r="L28" i="11" l="1"/>
  <c r="K9" i="11"/>
  <c r="K28" i="11"/>
  <c r="M24" i="11"/>
  <c r="N24" i="11" s="1"/>
  <c r="P34" i="11" s="1"/>
  <c r="Q34" i="11" s="1"/>
  <c r="O24" i="11"/>
  <c r="L9" i="11"/>
  <c r="K41" i="11" l="1"/>
  <c r="K5" i="11"/>
  <c r="M63" i="11"/>
  <c r="N63" i="11" s="1"/>
  <c r="O63" i="11"/>
  <c r="L41" i="11"/>
  <c r="K13" i="11" l="1"/>
  <c r="K75" i="11"/>
  <c r="M49" i="11"/>
  <c r="N49" i="11" s="1"/>
  <c r="O49" i="11"/>
  <c r="L5" i="11"/>
  <c r="M28" i="11" l="1"/>
  <c r="N28" i="11" s="1"/>
  <c r="K33" i="11"/>
  <c r="K62" i="11"/>
  <c r="O28" i="11"/>
  <c r="M41" i="11"/>
  <c r="N41" i="11" s="1"/>
  <c r="O41" i="11"/>
  <c r="M9" i="11"/>
  <c r="N9" i="11" s="1"/>
  <c r="O9" i="11"/>
  <c r="L75" i="11"/>
  <c r="K21" i="11"/>
  <c r="P53" i="11" l="1"/>
  <c r="M5" i="11"/>
  <c r="N5" i="11" s="1"/>
  <c r="O5" i="11"/>
  <c r="L13" i="11"/>
  <c r="K38" i="11"/>
  <c r="K64" i="11"/>
  <c r="P5" i="11" l="1"/>
  <c r="Q5" i="11" s="1"/>
  <c r="P9" i="11"/>
  <c r="Q9" i="11" s="1"/>
  <c r="Q53" i="11"/>
  <c r="M75" i="11"/>
  <c r="N75" i="11" s="1"/>
  <c r="O75" i="11"/>
  <c r="P55" i="11"/>
  <c r="K11" i="11"/>
  <c r="K80" i="11"/>
  <c r="L33" i="11"/>
  <c r="Q55" i="11" l="1"/>
  <c r="L62" i="11"/>
  <c r="M13" i="11"/>
  <c r="N13" i="11" s="1"/>
  <c r="O13" i="11"/>
  <c r="L21" i="11"/>
  <c r="K89" i="11"/>
  <c r="M33" i="11" l="1"/>
  <c r="N33" i="11" s="1"/>
  <c r="O33" i="11"/>
  <c r="L38" i="11"/>
  <c r="L64" i="11"/>
  <c r="K85" i="11"/>
  <c r="P43" i="11" l="1"/>
  <c r="Q43" i="11" s="1"/>
  <c r="P33" i="11"/>
  <c r="Q33" i="11" s="1"/>
  <c r="K18" i="11"/>
  <c r="M62" i="11"/>
  <c r="N62" i="11" s="1"/>
  <c r="O62" i="11"/>
  <c r="L11" i="11"/>
  <c r="K68" i="11"/>
  <c r="M21" i="11" l="1"/>
  <c r="N21" i="11" s="1"/>
  <c r="O21" i="11"/>
  <c r="L89" i="11"/>
  <c r="L80" i="11"/>
  <c r="K88" i="11" l="1"/>
  <c r="M64" i="11"/>
  <c r="N64" i="11" s="1"/>
  <c r="O64" i="11"/>
  <c r="L85" i="11"/>
  <c r="P61" i="11" l="1"/>
  <c r="K22" i="11"/>
  <c r="M38" i="11"/>
  <c r="N38" i="11" s="1"/>
  <c r="O38" i="11"/>
  <c r="Q61" i="11" l="1"/>
  <c r="P62" i="11"/>
  <c r="L18" i="11"/>
  <c r="L88" i="11"/>
  <c r="K47" i="11"/>
  <c r="K70" i="11"/>
  <c r="M11" i="11"/>
  <c r="N11" i="11" s="1"/>
  <c r="O11" i="11"/>
  <c r="L68" i="11"/>
  <c r="Q62" i="11" l="1"/>
  <c r="K50" i="11"/>
  <c r="K59" i="11"/>
  <c r="M89" i="11"/>
  <c r="N89" i="11" s="1"/>
  <c r="O89" i="11"/>
  <c r="P63" i="11"/>
  <c r="M80" i="11"/>
  <c r="N80" i="11" s="1"/>
  <c r="O80" i="11"/>
  <c r="P15" i="11" l="1"/>
  <c r="Q15" i="11" s="1"/>
  <c r="Q63" i="11"/>
  <c r="P11" i="11"/>
  <c r="Q11" i="11" s="1"/>
  <c r="K72" i="11"/>
  <c r="L22" i="11"/>
  <c r="K7" i="11"/>
  <c r="M85" i="11"/>
  <c r="N85" i="11" s="1"/>
  <c r="O85" i="11"/>
  <c r="L47" i="11"/>
  <c r="K77" i="11" l="1"/>
  <c r="L70" i="11"/>
  <c r="M18" i="11"/>
  <c r="N18" i="11" s="1"/>
  <c r="O18" i="11"/>
  <c r="L59" i="11"/>
  <c r="P18" i="11" l="1"/>
  <c r="Q18" i="11" s="1"/>
  <c r="K35" i="11"/>
  <c r="M68" i="11"/>
  <c r="N68" i="11" s="1"/>
  <c r="O68" i="11"/>
  <c r="L50" i="11"/>
  <c r="K74" i="11" l="1"/>
  <c r="L7" i="11"/>
  <c r="K86" i="11"/>
  <c r="L77" i="11"/>
  <c r="M88" i="11"/>
  <c r="N88" i="11" s="1"/>
  <c r="O88" i="11"/>
  <c r="L72" i="11"/>
  <c r="P23" i="11" l="1"/>
  <c r="Q23" i="11" s="1"/>
  <c r="K10" i="11"/>
  <c r="M70" i="11"/>
  <c r="N70" i="11" s="1"/>
  <c r="P19" i="11" s="1"/>
  <c r="Q19" i="11" s="1"/>
  <c r="O70" i="11"/>
  <c r="M22" i="11"/>
  <c r="N22" i="11" s="1"/>
  <c r="P32" i="11" s="1"/>
  <c r="Q32" i="11" s="1"/>
  <c r="O22" i="11"/>
  <c r="L35" i="11"/>
  <c r="P71" i="11" l="1"/>
  <c r="P70" i="11"/>
  <c r="P12" i="11"/>
  <c r="Q12" i="11" s="1"/>
  <c r="Q71" i="11"/>
  <c r="K27" i="11"/>
  <c r="K42" i="11"/>
  <c r="M47" i="11"/>
  <c r="N47" i="11" s="1"/>
  <c r="O47" i="11"/>
  <c r="M59" i="11"/>
  <c r="N59" i="11" s="1"/>
  <c r="O59" i="11"/>
  <c r="L74" i="11"/>
  <c r="L86" i="11"/>
  <c r="P69" i="11" l="1"/>
  <c r="Q69" i="11" s="1"/>
  <c r="P28" i="11"/>
  <c r="Q28" i="11" s="1"/>
  <c r="Q70" i="11"/>
  <c r="K66" i="11"/>
  <c r="K81" i="11"/>
  <c r="M7" i="11"/>
  <c r="N7" i="11" s="1"/>
  <c r="O7" i="11"/>
  <c r="P73" i="11"/>
  <c r="M50" i="11"/>
  <c r="N50" i="11" s="1"/>
  <c r="O50" i="11"/>
  <c r="L10" i="11"/>
  <c r="P38" i="11" l="1"/>
  <c r="Q38" i="11" s="1"/>
  <c r="P7" i="11"/>
  <c r="Q7" i="11" s="1"/>
  <c r="P60" i="11"/>
  <c r="Q60" i="11" s="1"/>
  <c r="P13" i="11"/>
  <c r="Q13" i="11" s="1"/>
  <c r="Q73" i="11"/>
  <c r="K37" i="11"/>
  <c r="K54" i="11"/>
  <c r="M72" i="11"/>
  <c r="N72" i="11" s="1"/>
  <c r="O72" i="11"/>
  <c r="L27" i="11"/>
  <c r="L42" i="11"/>
  <c r="P72" i="11" l="1"/>
  <c r="Q72" i="11" s="1"/>
  <c r="K31" i="11"/>
  <c r="M35" i="11"/>
  <c r="N35" i="11" s="1"/>
  <c r="P35" i="11" s="1"/>
  <c r="Q35" i="11" s="1"/>
  <c r="O35" i="11"/>
  <c r="M77" i="11"/>
  <c r="N77" i="11" s="1"/>
  <c r="O77" i="11"/>
  <c r="L81" i="11"/>
  <c r="P45" i="11" l="1"/>
  <c r="Q45" i="11" s="1"/>
  <c r="K46" i="11"/>
  <c r="O74" i="11"/>
  <c r="K44" i="11"/>
  <c r="M74" i="11"/>
  <c r="N74" i="11" s="1"/>
  <c r="P74" i="11" s="1"/>
  <c r="Q74" i="11" s="1"/>
  <c r="M86" i="11"/>
  <c r="N86" i="11" s="1"/>
  <c r="O86" i="11"/>
  <c r="L54" i="11"/>
  <c r="L66" i="11"/>
  <c r="P57" i="11" l="1"/>
  <c r="Q57" i="11" s="1"/>
  <c r="P48" i="11"/>
  <c r="Q48" i="11" s="1"/>
  <c r="K29" i="11"/>
  <c r="K8" i="11"/>
  <c r="P80" i="11"/>
  <c r="M10" i="11"/>
  <c r="N10" i="11" s="1"/>
  <c r="O10" i="11"/>
  <c r="P79" i="11"/>
  <c r="L37" i="11"/>
  <c r="P10" i="11" l="1"/>
  <c r="Q10" i="11" s="1"/>
  <c r="P58" i="11"/>
  <c r="Q58" i="11" s="1"/>
  <c r="Q79" i="11"/>
  <c r="Q80" i="11"/>
  <c r="K26" i="11"/>
  <c r="M27" i="11"/>
  <c r="N27" i="11" s="1"/>
  <c r="P27" i="11" s="1"/>
  <c r="Q27" i="11" s="1"/>
  <c r="O27" i="11"/>
  <c r="M42" i="11"/>
  <c r="N42" i="11" s="1"/>
  <c r="P42" i="11" s="1"/>
  <c r="Q42" i="11" s="1"/>
  <c r="O42" i="11"/>
  <c r="L31" i="11"/>
  <c r="P65" i="11" l="1"/>
  <c r="P20" i="11"/>
  <c r="Q20" i="11" s="1"/>
  <c r="P52" i="11"/>
  <c r="Q52" i="11" s="1"/>
  <c r="Q65" i="11"/>
  <c r="P82" i="11"/>
  <c r="Q82" i="11" s="1"/>
  <c r="P75" i="11"/>
  <c r="K83" i="11"/>
  <c r="K91" i="11"/>
  <c r="L44" i="11"/>
  <c r="M66" i="11"/>
  <c r="N66" i="11" s="1"/>
  <c r="O66" i="11"/>
  <c r="M81" i="11"/>
  <c r="N81" i="11" s="1"/>
  <c r="O81" i="11"/>
  <c r="P14" i="11" l="1"/>
  <c r="Q14" i="11" s="1"/>
  <c r="P81" i="11"/>
  <c r="Q81" i="11" s="1"/>
  <c r="Q75" i="11"/>
  <c r="L46" i="11"/>
  <c r="K96" i="11"/>
  <c r="M54" i="11"/>
  <c r="N54" i="11" s="1"/>
  <c r="O54" i="11"/>
  <c r="P84" i="11"/>
  <c r="P85" i="11"/>
  <c r="P64" i="11" l="1"/>
  <c r="Q64" i="11" s="1"/>
  <c r="Q85" i="11"/>
  <c r="P86" i="11"/>
  <c r="Q84" i="11"/>
  <c r="K98" i="11"/>
  <c r="L8" i="11"/>
  <c r="M31" i="11"/>
  <c r="N31" i="11" s="1"/>
  <c r="O31" i="11"/>
  <c r="M37" i="11"/>
  <c r="N37" i="11" s="1"/>
  <c r="O37" i="11"/>
  <c r="P47" i="11" l="1"/>
  <c r="Q47" i="11" s="1"/>
  <c r="P37" i="11"/>
  <c r="Q37" i="11" s="1"/>
  <c r="P76" i="11"/>
  <c r="P66" i="11"/>
  <c r="Q86" i="11"/>
  <c r="K90" i="11"/>
  <c r="L29" i="11"/>
  <c r="M46" i="11"/>
  <c r="N46" i="11" s="1"/>
  <c r="O46" i="11"/>
  <c r="P87" i="11"/>
  <c r="M44" i="11"/>
  <c r="N44" i="11" s="1"/>
  <c r="P44" i="11" s="1"/>
  <c r="Q44" i="11" s="1"/>
  <c r="O44" i="11"/>
  <c r="P56" i="11" l="1"/>
  <c r="P46" i="11"/>
  <c r="Q46" i="11" s="1"/>
  <c r="Q56" i="11"/>
  <c r="AP13" i="11"/>
  <c r="P54" i="11"/>
  <c r="Q54" i="11" s="1"/>
  <c r="Q66" i="11"/>
  <c r="P30" i="11"/>
  <c r="Q76" i="11"/>
  <c r="AP20" i="11"/>
  <c r="P67" i="11"/>
  <c r="Q67" i="11" s="1"/>
  <c r="P77" i="11"/>
  <c r="Q77" i="11" s="1"/>
  <c r="Q87" i="11"/>
  <c r="L26" i="11"/>
  <c r="K99" i="11"/>
  <c r="P89" i="11"/>
  <c r="O29" i="11"/>
  <c r="M8" i="11"/>
  <c r="N8" i="11" s="1"/>
  <c r="P8" i="11" s="1"/>
  <c r="Q8" i="11" s="1"/>
  <c r="O8" i="11"/>
  <c r="P40" i="11" l="1"/>
  <c r="Q40" i="11" s="1"/>
  <c r="Q30" i="11"/>
  <c r="Q89" i="11"/>
  <c r="AP5" i="11"/>
  <c r="P50" i="11"/>
  <c r="Q50" i="11" s="1"/>
  <c r="K100" i="11"/>
  <c r="L91" i="11"/>
  <c r="M29" i="11"/>
  <c r="N29" i="11" s="1"/>
  <c r="P39" i="11" l="1"/>
  <c r="Q39" i="11" s="1"/>
  <c r="P29" i="11"/>
  <c r="Q29" i="11" s="1"/>
  <c r="AP10" i="11"/>
  <c r="P92" i="11"/>
  <c r="Q92" i="11" s="1"/>
  <c r="L83" i="11"/>
  <c r="K101" i="11"/>
  <c r="O26" i="11"/>
  <c r="M26" i="11"/>
  <c r="N26" i="11" s="1"/>
  <c r="P36" i="11" l="1"/>
  <c r="Q36" i="11" s="1"/>
  <c r="P26" i="11"/>
  <c r="Q26" i="11" s="1"/>
  <c r="P49" i="11"/>
  <c r="Q49" i="11" s="1"/>
  <c r="P59" i="11"/>
  <c r="Q59" i="11" s="1"/>
  <c r="K102" i="11"/>
  <c r="K103" i="11"/>
  <c r="L98" i="11"/>
  <c r="O91" i="11"/>
  <c r="M91" i="11"/>
  <c r="N91" i="11" s="1"/>
  <c r="L96" i="11"/>
  <c r="P17" i="11" l="1"/>
  <c r="P91" i="11"/>
  <c r="Q91" i="11" s="1"/>
  <c r="Q17" i="11"/>
  <c r="AP7" i="11"/>
  <c r="P94" i="11"/>
  <c r="P51" i="11"/>
  <c r="Q51" i="11" s="1"/>
  <c r="Q94" i="11"/>
  <c r="L99" i="11"/>
  <c r="M83" i="11"/>
  <c r="N83" i="11" s="1"/>
  <c r="P83" i="11" s="1"/>
  <c r="Q83" i="11" s="1"/>
  <c r="O83" i="11"/>
  <c r="K104" i="11"/>
  <c r="L90" i="11"/>
  <c r="P21" i="11" l="1"/>
  <c r="Q21" i="11" s="1"/>
  <c r="P93" i="11"/>
  <c r="AP15" i="11" s="1"/>
  <c r="AP12" i="11"/>
  <c r="AP16" i="11"/>
  <c r="M96" i="11"/>
  <c r="N96" i="11" s="1"/>
  <c r="O96" i="11"/>
  <c r="P95" i="11"/>
  <c r="L101" i="11"/>
  <c r="L100" i="11"/>
  <c r="P68" i="11" l="1"/>
  <c r="P22" i="11"/>
  <c r="Q22" i="11" s="1"/>
  <c r="Q93" i="11"/>
  <c r="AP9" i="11"/>
  <c r="Q68" i="11"/>
  <c r="AP18" i="11"/>
  <c r="AP25" i="11"/>
  <c r="AP26" i="11"/>
  <c r="P96" i="11"/>
  <c r="Q96" i="11" s="1"/>
  <c r="P78" i="11"/>
  <c r="Q95" i="11"/>
  <c r="O98" i="11"/>
  <c r="M98" i="11"/>
  <c r="N98" i="11" s="1"/>
  <c r="P24" i="11" s="1"/>
  <c r="Q24" i="11" s="1"/>
  <c r="L102" i="11"/>
  <c r="P97" i="11" l="1"/>
  <c r="AP21" i="11" s="1"/>
  <c r="P88" i="11"/>
  <c r="Q78" i="11"/>
  <c r="AP27" i="11"/>
  <c r="AP14" i="11"/>
  <c r="AP19" i="11"/>
  <c r="Q97" i="11"/>
  <c r="AP22" i="11"/>
  <c r="O90" i="11"/>
  <c r="M90" i="11"/>
  <c r="N90" i="11" s="1"/>
  <c r="L103" i="11"/>
  <c r="P90" i="11" l="1"/>
  <c r="Q90" i="11" s="1"/>
  <c r="P16" i="11"/>
  <c r="Q16" i="11" s="1"/>
  <c r="Q88" i="11"/>
  <c r="AP23" i="11"/>
  <c r="P31" i="11"/>
  <c r="AP17" i="11" s="1"/>
  <c r="P98" i="11"/>
  <c r="P41" i="11"/>
  <c r="AP29" i="11" s="1"/>
  <c r="Q98" i="11"/>
  <c r="O100" i="11"/>
  <c r="M100" i="11"/>
  <c r="N100" i="11" s="1"/>
  <c r="M99" i="11"/>
  <c r="N99" i="11" s="1"/>
  <c r="O99" i="11"/>
  <c r="L104" i="11"/>
  <c r="AP28" i="11" l="1"/>
  <c r="Q31" i="11"/>
  <c r="AP11" i="11"/>
  <c r="P100" i="11"/>
  <c r="Q100" i="11" s="1"/>
  <c r="P99" i="11"/>
  <c r="Q99" i="11" s="1"/>
  <c r="Q41" i="11"/>
  <c r="AP24" i="11"/>
  <c r="AF99" i="11"/>
  <c r="AG99" i="11"/>
  <c r="O101" i="11"/>
  <c r="M101" i="11"/>
  <c r="N101" i="11" s="1"/>
  <c r="AH99" i="11"/>
  <c r="AF100" i="11"/>
  <c r="AG100" i="11"/>
  <c r="AH100" i="11"/>
  <c r="AI100" i="11" l="1"/>
  <c r="AI99" i="11"/>
  <c r="O103" i="11"/>
  <c r="M103" i="11"/>
  <c r="N103" i="11" s="1"/>
  <c r="P103" i="11" s="1"/>
  <c r="Q103" i="11" s="1"/>
  <c r="P101" i="11"/>
  <c r="Q101" i="11" s="1"/>
  <c r="AF101" i="11"/>
  <c r="AG101" i="11"/>
  <c r="AH101" i="11"/>
  <c r="M102" i="11"/>
  <c r="N102" i="11" s="1"/>
  <c r="O102" i="11"/>
  <c r="AH102" i="11" s="1"/>
  <c r="AI101" i="11" l="1"/>
  <c r="M104" i="11"/>
  <c r="N104" i="11" s="1"/>
  <c r="O104" i="11"/>
  <c r="AF103" i="11"/>
  <c r="AG103" i="11"/>
  <c r="AF102" i="11"/>
  <c r="AG102" i="11"/>
  <c r="P102" i="11"/>
  <c r="Q102" i="11" s="1"/>
  <c r="AH103" i="11"/>
  <c r="P104" i="11" l="1"/>
  <c r="AP8" i="11" s="1"/>
  <c r="AI103" i="11"/>
  <c r="AI102" i="11"/>
  <c r="Q104" i="11"/>
  <c r="AP6" i="11"/>
  <c r="U8" i="11"/>
  <c r="U6" i="11"/>
  <c r="U11" i="11"/>
  <c r="U5" i="11"/>
  <c r="U13" i="11"/>
  <c r="U12" i="11"/>
  <c r="U10" i="11"/>
  <c r="U9" i="11"/>
  <c r="U7" i="11"/>
  <c r="U14" i="11"/>
  <c r="AF104" i="11"/>
  <c r="AG104" i="11"/>
  <c r="AH104" i="11"/>
  <c r="AI104" i="11" l="1"/>
  <c r="V14" i="11"/>
  <c r="W14" i="11" s="1"/>
  <c r="X14" i="11" s="1"/>
  <c r="V10" i="11"/>
  <c r="W10" i="11" s="1"/>
  <c r="X10" i="11" s="1"/>
  <c r="V13" i="11"/>
  <c r="W13" i="11" s="1"/>
  <c r="X13" i="11" s="1"/>
  <c r="V8" i="11"/>
  <c r="W8" i="11" s="1"/>
  <c r="X8" i="11" s="1"/>
  <c r="V9" i="11"/>
  <c r="W9" i="11" s="1"/>
  <c r="X9" i="11" s="1"/>
  <c r="V6" i="11"/>
  <c r="W6" i="11" s="1"/>
  <c r="X6" i="11" s="1"/>
  <c r="V11" i="11"/>
  <c r="W11" i="11" s="1"/>
  <c r="X11" i="11" s="1"/>
  <c r="V5" i="11"/>
  <c r="W5" i="11" s="1"/>
  <c r="V7" i="11"/>
  <c r="W7" i="11" s="1"/>
  <c r="X7" i="11" s="1"/>
  <c r="V12" i="11"/>
  <c r="W12" i="11" s="1"/>
  <c r="X12" i="11" s="1"/>
  <c r="AF27" i="11" l="1"/>
  <c r="AG27" i="11"/>
  <c r="AH27" i="11"/>
  <c r="AF31" i="11"/>
  <c r="AG31" i="11"/>
  <c r="AH31" i="11"/>
  <c r="AH41" i="11"/>
  <c r="AG41" i="11"/>
  <c r="AF41" i="11"/>
  <c r="AH43" i="11"/>
  <c r="AF43" i="11"/>
  <c r="AG43" i="11"/>
  <c r="AH51" i="11"/>
  <c r="AF51" i="11"/>
  <c r="AG51" i="11"/>
  <c r="AH54" i="11"/>
  <c r="AF54" i="11"/>
  <c r="AG54" i="11"/>
  <c r="AF60" i="11"/>
  <c r="AG60" i="11"/>
  <c r="AH60" i="11"/>
  <c r="AF68" i="11"/>
  <c r="AG68" i="11"/>
  <c r="AH68" i="11"/>
  <c r="AH69" i="11"/>
  <c r="AF69" i="11"/>
  <c r="AG69" i="11"/>
  <c r="AF88" i="11"/>
  <c r="AG88" i="11"/>
  <c r="AH88" i="11"/>
  <c r="AF16" i="11"/>
  <c r="AH16" i="11"/>
  <c r="AG16" i="11"/>
  <c r="AF29" i="11"/>
  <c r="AG29" i="11"/>
  <c r="AH29" i="11"/>
  <c r="AF42" i="11"/>
  <c r="AG42" i="11"/>
  <c r="AH42" i="11"/>
  <c r="AG66" i="11"/>
  <c r="AH66" i="11"/>
  <c r="AF66" i="11"/>
  <c r="AH75" i="11"/>
  <c r="AF75" i="11"/>
  <c r="AG75" i="11"/>
  <c r="AH86" i="11"/>
  <c r="AF86" i="11"/>
  <c r="AG86" i="11"/>
  <c r="AH91" i="11"/>
  <c r="AF91" i="11"/>
  <c r="AG91" i="11"/>
  <c r="AG94" i="11"/>
  <c r="AH94" i="11"/>
  <c r="AF94" i="11"/>
  <c r="X5" i="11"/>
  <c r="AF10" i="11" s="1"/>
  <c r="W4" i="11"/>
  <c r="AG22" i="11"/>
  <c r="AH22" i="11"/>
  <c r="AF22" i="11"/>
  <c r="AH26" i="11"/>
  <c r="AF26" i="11"/>
  <c r="AG26" i="11"/>
  <c r="AG35" i="11"/>
  <c r="AH35" i="11"/>
  <c r="AF35" i="11"/>
  <c r="AH49" i="11"/>
  <c r="AG49" i="11"/>
  <c r="AF49" i="11"/>
  <c r="AH65" i="11"/>
  <c r="AG65" i="11"/>
  <c r="AF65" i="11"/>
  <c r="AF73" i="11"/>
  <c r="AG73" i="11"/>
  <c r="AH73" i="11"/>
  <c r="AH78" i="11"/>
  <c r="AF78" i="11"/>
  <c r="AG78" i="11"/>
  <c r="AG89" i="11"/>
  <c r="AF89" i="11"/>
  <c r="AH89" i="11"/>
  <c r="AH98" i="11"/>
  <c r="AG98" i="11"/>
  <c r="AF98" i="11"/>
  <c r="AF19" i="11"/>
  <c r="AH19" i="11"/>
  <c r="AG19" i="11"/>
  <c r="AG25" i="11"/>
  <c r="AH25" i="11"/>
  <c r="AF25" i="11"/>
  <c r="AF47" i="11"/>
  <c r="AH47" i="11"/>
  <c r="AG47" i="11"/>
  <c r="AH52" i="11"/>
  <c r="AG52" i="11"/>
  <c r="AF52" i="11"/>
  <c r="AF57" i="11"/>
  <c r="AG57" i="11"/>
  <c r="AH57" i="11"/>
  <c r="AF62" i="11"/>
  <c r="AH62" i="11"/>
  <c r="AG62" i="11"/>
  <c r="AH72" i="11"/>
  <c r="AF72" i="11"/>
  <c r="AG72" i="11"/>
  <c r="AH77" i="11"/>
  <c r="AF77" i="11"/>
  <c r="AG77" i="11"/>
  <c r="AH92" i="11"/>
  <c r="AF92" i="11"/>
  <c r="AG92" i="11"/>
  <c r="AG18" i="11"/>
  <c r="AF18" i="11"/>
  <c r="AH18" i="11"/>
  <c r="AG32" i="11"/>
  <c r="AH32" i="11"/>
  <c r="AF32" i="11"/>
  <c r="AH34" i="11"/>
  <c r="AG34" i="11"/>
  <c r="AF34" i="11"/>
  <c r="AH39" i="11"/>
  <c r="AF39" i="11"/>
  <c r="AG39" i="11"/>
  <c r="AG53" i="11"/>
  <c r="AF53" i="11"/>
  <c r="AH53" i="11"/>
  <c r="AH59" i="11"/>
  <c r="AF59" i="11"/>
  <c r="AG59" i="11"/>
  <c r="AF80" i="11"/>
  <c r="AG80" i="11"/>
  <c r="AH80" i="11"/>
  <c r="AG81" i="11"/>
  <c r="AH81" i="11"/>
  <c r="AF81" i="11"/>
  <c r="AF20" i="11"/>
  <c r="AH20" i="11"/>
  <c r="AG20" i="11"/>
  <c r="AH24" i="11"/>
  <c r="AF24" i="11"/>
  <c r="AG24" i="11"/>
  <c r="AG30" i="11"/>
  <c r="AF30" i="11"/>
  <c r="AH30" i="11"/>
  <c r="AH33" i="11"/>
  <c r="AG33" i="11"/>
  <c r="AF33" i="11"/>
  <c r="AH67" i="11"/>
  <c r="AG67" i="11"/>
  <c r="AF67" i="11"/>
  <c r="AH76" i="11"/>
  <c r="AF76" i="11"/>
  <c r="AG76" i="11"/>
  <c r="AH79" i="11"/>
  <c r="AF79" i="11"/>
  <c r="AG79" i="11"/>
  <c r="AF93" i="11"/>
  <c r="AG93" i="11"/>
  <c r="AH93" i="11"/>
  <c r="AG28" i="11"/>
  <c r="AF28" i="11"/>
  <c r="AH28" i="11"/>
  <c r="AF45" i="11"/>
  <c r="AG45" i="11"/>
  <c r="AH45" i="11"/>
  <c r="AH50" i="11"/>
  <c r="AG50" i="11"/>
  <c r="AF50" i="11"/>
  <c r="AH56" i="11"/>
  <c r="AF56" i="11"/>
  <c r="AG56" i="11"/>
  <c r="AH61" i="11"/>
  <c r="AF61" i="11"/>
  <c r="AG61" i="11"/>
  <c r="AH63" i="11"/>
  <c r="AF63" i="11"/>
  <c r="AG63" i="11"/>
  <c r="AG83" i="11"/>
  <c r="AH83" i="11"/>
  <c r="AF83" i="11"/>
  <c r="AH87" i="11"/>
  <c r="AF87" i="11"/>
  <c r="AG87" i="11"/>
  <c r="AH90" i="11"/>
  <c r="AF90" i="11"/>
  <c r="AG90" i="11"/>
  <c r="AF96" i="11"/>
  <c r="AH96" i="11"/>
  <c r="AG96" i="11"/>
  <c r="AF23" i="11"/>
  <c r="AH23" i="11"/>
  <c r="AG23" i="11"/>
  <c r="AH44" i="11"/>
  <c r="AF44" i="11"/>
  <c r="AG44" i="11"/>
  <c r="AH46" i="11"/>
  <c r="AG46" i="11"/>
  <c r="AF46" i="11"/>
  <c r="AH71" i="11"/>
  <c r="AF71" i="11"/>
  <c r="AG71" i="11"/>
  <c r="AH82" i="11"/>
  <c r="AG82" i="11"/>
  <c r="AF82" i="11"/>
  <c r="AH95" i="11"/>
  <c r="AG95" i="11"/>
  <c r="AF95" i="11"/>
  <c r="AG17" i="11"/>
  <c r="AF17" i="11"/>
  <c r="AH17" i="11"/>
  <c r="AH21" i="11"/>
  <c r="AG21" i="11"/>
  <c r="AF21" i="11"/>
  <c r="AF37" i="11"/>
  <c r="AH37" i="11"/>
  <c r="AG37" i="11"/>
  <c r="AH36" i="11"/>
  <c r="AG36" i="11"/>
  <c r="AF36" i="11"/>
  <c r="AG48" i="11"/>
  <c r="AF48" i="11"/>
  <c r="AH48" i="11"/>
  <c r="AF85" i="11"/>
  <c r="AG85" i="11"/>
  <c r="AH85" i="11"/>
  <c r="AH97" i="11"/>
  <c r="AF97" i="11"/>
  <c r="AG97" i="11"/>
  <c r="AG8" i="11" l="1"/>
  <c r="AI43" i="11"/>
  <c r="AI36" i="11"/>
  <c r="AF13" i="11"/>
  <c r="AO9" i="11"/>
  <c r="AG6" i="11"/>
  <c r="AF11" i="11"/>
  <c r="AI18" i="11"/>
  <c r="AI32" i="11"/>
  <c r="AI60" i="11"/>
  <c r="AI52" i="11"/>
  <c r="AN8" i="11"/>
  <c r="AH8" i="11"/>
  <c r="AH6" i="11"/>
  <c r="AF8" i="11"/>
  <c r="AF14" i="11"/>
  <c r="AI44" i="11"/>
  <c r="AI61" i="11"/>
  <c r="AI93" i="11"/>
  <c r="AH13" i="11"/>
  <c r="AI72" i="11"/>
  <c r="AH11" i="11"/>
  <c r="AO6" i="11" s="1"/>
  <c r="AG13" i="11"/>
  <c r="AI57" i="11"/>
  <c r="AF7" i="11"/>
  <c r="AH14" i="11"/>
  <c r="AI83" i="11"/>
  <c r="AG14" i="11"/>
  <c r="AF12" i="11"/>
  <c r="AG7" i="11"/>
  <c r="AH7" i="11"/>
  <c r="AG12" i="11"/>
  <c r="AI48" i="11"/>
  <c r="AG11" i="11"/>
  <c r="AN24" i="11"/>
  <c r="AI23" i="11"/>
  <c r="AI90" i="11"/>
  <c r="AI28" i="11"/>
  <c r="AF6" i="11"/>
  <c r="AI6" i="11" s="1"/>
  <c r="AH12" i="11"/>
  <c r="AI16" i="11"/>
  <c r="AH10" i="11"/>
  <c r="AG10" i="11"/>
  <c r="AI98" i="11"/>
  <c r="AI22" i="11"/>
  <c r="AI94" i="11"/>
  <c r="AG5" i="11"/>
  <c r="AI31" i="11"/>
  <c r="AH5" i="11"/>
  <c r="AF5" i="11"/>
  <c r="AI79" i="11"/>
  <c r="AI37" i="11"/>
  <c r="AI95" i="11"/>
  <c r="AI56" i="11"/>
  <c r="AI20" i="11"/>
  <c r="AI80" i="11"/>
  <c r="AI39" i="11"/>
  <c r="AO24" i="11"/>
  <c r="AI19" i="11"/>
  <c r="AI89" i="11"/>
  <c r="AI65" i="11"/>
  <c r="AM18" i="11"/>
  <c r="AI91" i="11"/>
  <c r="AI66" i="11"/>
  <c r="AI29" i="11"/>
  <c r="AO8" i="11"/>
  <c r="AI62" i="11"/>
  <c r="AN18" i="11"/>
  <c r="AI41" i="11"/>
  <c r="AI63" i="11"/>
  <c r="AI50" i="11"/>
  <c r="AM15" i="11"/>
  <c r="AI76" i="11"/>
  <c r="AI30" i="11"/>
  <c r="AI59" i="11"/>
  <c r="AI34" i="11"/>
  <c r="AI77" i="11"/>
  <c r="AI47" i="11"/>
  <c r="AO18" i="11"/>
  <c r="AI26" i="11"/>
  <c r="AI68" i="11"/>
  <c r="AI51" i="11"/>
  <c r="AI21" i="11"/>
  <c r="AM9" i="11"/>
  <c r="AI46" i="11"/>
  <c r="AI82" i="11"/>
  <c r="AI81" i="11"/>
  <c r="AI25" i="11"/>
  <c r="AI78" i="11"/>
  <c r="AI49" i="11"/>
  <c r="AG9" i="11"/>
  <c r="AH9" i="11"/>
  <c r="AF9" i="11"/>
  <c r="AF15" i="11"/>
  <c r="AM10" i="11" s="1"/>
  <c r="AH15" i="11"/>
  <c r="AG15" i="11"/>
  <c r="AH38" i="11"/>
  <c r="AG38" i="11"/>
  <c r="AF38" i="11"/>
  <c r="AM14" i="11" s="1"/>
  <c r="AH40" i="11"/>
  <c r="AO29" i="11" s="1"/>
  <c r="AF40" i="11"/>
  <c r="AM23" i="11" s="1"/>
  <c r="AG40" i="11"/>
  <c r="AN29" i="11" s="1"/>
  <c r="AF55" i="11"/>
  <c r="AM12" i="11" s="1"/>
  <c r="AG55" i="11"/>
  <c r="AH55" i="11"/>
  <c r="AF58" i="11"/>
  <c r="AM21" i="11" s="1"/>
  <c r="AG58" i="11"/>
  <c r="AH58" i="11"/>
  <c r="AO21" i="11" s="1"/>
  <c r="AH64" i="11"/>
  <c r="AO11" i="11" s="1"/>
  <c r="AF64" i="11"/>
  <c r="AM11" i="11" s="1"/>
  <c r="AG64" i="11"/>
  <c r="AG70" i="11"/>
  <c r="AN13" i="11" s="1"/>
  <c r="AF70" i="11"/>
  <c r="AH70" i="11"/>
  <c r="AO19" i="11" s="1"/>
  <c r="AF74" i="11"/>
  <c r="AG74" i="11"/>
  <c r="AN25" i="11" s="1"/>
  <c r="AH74" i="11"/>
  <c r="AH84" i="11"/>
  <c r="AF84" i="11"/>
  <c r="AG84" i="11"/>
  <c r="AI86" i="11"/>
  <c r="AI87" i="11"/>
  <c r="AI67" i="11"/>
  <c r="AO15" i="11"/>
  <c r="AO10" i="11"/>
  <c r="AN14" i="11"/>
  <c r="AI88" i="11"/>
  <c r="AN9" i="11"/>
  <c r="AN27" i="11"/>
  <c r="AI53" i="11"/>
  <c r="AN28" i="11"/>
  <c r="AI42" i="11"/>
  <c r="AM13" i="11"/>
  <c r="AO28" i="11"/>
  <c r="AI24" i="11"/>
  <c r="AN15" i="11"/>
  <c r="AI35" i="11"/>
  <c r="AI75" i="11"/>
  <c r="AI69" i="11"/>
  <c r="AM19" i="11"/>
  <c r="AI97" i="11"/>
  <c r="AI85" i="11"/>
  <c r="AI17" i="11"/>
  <c r="AM8" i="11"/>
  <c r="AI71" i="11"/>
  <c r="AI96" i="11"/>
  <c r="AM28" i="11"/>
  <c r="AO27" i="11"/>
  <c r="AI45" i="11"/>
  <c r="AI33" i="11"/>
  <c r="AI92" i="11"/>
  <c r="AM24" i="11"/>
  <c r="AI73" i="11"/>
  <c r="AM20" i="11"/>
  <c r="AO12" i="11"/>
  <c r="AN11" i="11"/>
  <c r="AI54" i="11"/>
  <c r="AI27" i="11"/>
  <c r="AO5" i="11" l="1"/>
  <c r="AM5" i="11"/>
  <c r="AO17" i="11"/>
  <c r="AM16" i="11"/>
  <c r="AO7" i="11"/>
  <c r="AN5" i="11"/>
  <c r="AO20" i="11"/>
  <c r="AO14" i="11"/>
  <c r="AM27" i="11"/>
  <c r="AN17" i="11"/>
  <c r="AI5" i="11"/>
  <c r="AI13" i="11"/>
  <c r="AI8" i="11"/>
  <c r="AN23" i="11"/>
  <c r="AN20" i="11"/>
  <c r="AM7" i="11"/>
  <c r="AI11" i="11"/>
  <c r="AI10" i="11"/>
  <c r="AI7" i="11"/>
  <c r="AI12" i="11"/>
  <c r="AI14" i="11"/>
  <c r="AO22" i="11"/>
  <c r="AQ28" i="11"/>
  <c r="AQ8" i="11"/>
  <c r="AN22" i="11"/>
  <c r="AI15" i="11"/>
  <c r="AN19" i="11"/>
  <c r="AN26" i="11"/>
  <c r="AI74" i="11"/>
  <c r="AI38" i="11"/>
  <c r="AN6" i="11"/>
  <c r="AN16" i="11"/>
  <c r="AM26" i="11"/>
  <c r="AO26" i="11"/>
  <c r="AO23" i="11"/>
  <c r="AN10" i="11"/>
  <c r="AQ10" i="11" s="1"/>
  <c r="AO13" i="11"/>
  <c r="AQ15" i="11" s="1"/>
  <c r="AN12" i="11"/>
  <c r="AQ12" i="11" s="1"/>
  <c r="AN21" i="11"/>
  <c r="AQ24" i="11" s="1"/>
  <c r="AO16" i="11"/>
  <c r="AQ18" i="11" s="1"/>
  <c r="AO25" i="11"/>
  <c r="AI40" i="11"/>
  <c r="AM29" i="11"/>
  <c r="AI9" i="11"/>
  <c r="AM6" i="11"/>
  <c r="AQ9" i="11"/>
  <c r="AI58" i="11"/>
  <c r="AM17" i="11"/>
  <c r="AQ19" i="11" s="1"/>
  <c r="AI70" i="11"/>
  <c r="AQ11" i="11"/>
  <c r="AM25" i="11"/>
  <c r="AN7" i="11"/>
  <c r="AI84" i="11"/>
  <c r="AM22" i="11"/>
  <c r="AI55" i="11"/>
  <c r="AI64" i="11"/>
  <c r="AQ5" i="11" l="1"/>
  <c r="AQ20" i="11"/>
  <c r="AQ27" i="11"/>
  <c r="AQ14" i="11"/>
  <c r="AQ6" i="11"/>
  <c r="AQ16" i="11"/>
  <c r="AQ26" i="11"/>
  <c r="AQ7" i="11"/>
  <c r="AQ25" i="11"/>
  <c r="AQ29" i="11"/>
  <c r="AQ21" i="11"/>
  <c r="AQ22" i="11"/>
  <c r="AQ17" i="11"/>
  <c r="AQ23" i="11"/>
  <c r="AQ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tc={F40405EF-3C45-4486-A218-ADB85A97DC37}</author>
    <author>tc={6F74F25A-791D-4E9D-A209-0B1664FF2463}</author>
    <author>tc={C57103DE-C949-4FB1-BDF1-9D0E2AFC5C98}</author>
  </authors>
  <commentList>
    <comment ref="C4" authorId="0" shapeId="0" xr:uid="{F40405EF-3C45-4486-A218-ADB85A97DC37}">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6F74F25A-791D-4E9D-A209-0B1664FF2463}">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C57103DE-C949-4FB1-BDF1-9D0E2AFC5C98}">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tc={6705FFDD-B3F6-4F8C-AF22-10797C34440F}</author>
  </authors>
  <commentList>
    <comment ref="AR4" authorId="0" shapeId="0" xr:uid="{6705FFDD-B3F6-4F8C-AF22-10797C34440F}">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tc={9BD5BD34-4DB2-4D76-9A16-0FA5986CF838}</author>
  </authors>
  <commentList>
    <comment ref="A1" authorId="0" shapeId="0" xr:uid="{9BD5BD34-4DB2-4D76-9A16-0FA5986CF838}">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tc={FDCF23D2-EF98-4584-AE8C-9B736498F65E}</author>
    <author>tc={D4932DB7-C961-41D0-9D7F-B728089F644B}</author>
    <author>tc={AF930BC6-2AB9-4FD9-AFFE-F7D296940D9B}</author>
    <author>tc={37C47635-7138-47C2-AA52-D01C7D8935F7}</author>
    <author>tc={AA8A9009-5122-4B92-B8C4-048C859818A5}</author>
  </authors>
  <commentList>
    <comment ref="C1" authorId="0" shapeId="0" xr:uid="{FDCF23D2-EF98-4584-AE8C-9B736498F65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D4932DB7-C961-41D0-9D7F-B728089F644B}">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AF930BC6-2AB9-4FD9-AFFE-F7D296940D9B}">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37C47635-7138-47C2-AA52-D01C7D8935F7}">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AA8A9009-5122-4B92-B8C4-048C859818A5}">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tc={C0D041F1-75F7-4C38-85D1-C56F6A7A9D2C}</author>
    <author>tc={BDEE584B-7D86-4B25-B9F0-1C2A3D0FB52B}</author>
  </authors>
  <commentList>
    <comment ref="A3" authorId="0" shapeId="0" xr:uid="{C0D041F1-75F7-4C38-85D1-C56F6A7A9D2C}">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BDEE584B-7D86-4B25-B9F0-1C2A3D0FB52B}">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tc={189EE62F-A793-4D7A-BC16-C90382A6170D}</author>
  </authors>
  <commentList>
    <comment ref="A3" authorId="0" shapeId="0" xr:uid="{189EE62F-A793-4D7A-BC16-C90382A6170D}">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tc={2C581B4C-CD82-4CFF-8B6F-64E40C9D75EA}</author>
    <author>tc={45792607-B9F3-485B-B448-856993A6CF10}</author>
  </authors>
  <commentList>
    <comment ref="A1" authorId="0" shapeId="0" xr:uid="{2C581B4C-CD82-4CFF-8B6F-64E40C9D75EA}">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45792607-B9F3-485B-B448-856993A6CF10}">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tc={2CA65E9E-10D3-4972-AEF8-BD67F06C1E56}</author>
    <author>tc={0E05C5AF-213A-438D-87F3-D4FD34E8886E}</author>
    <author>tc={60F4A00E-FD5E-4D65-953B-84B9624FCB4D}</author>
    <author>tc={9BE76DEF-12A5-4623-ABFC-E40F450D37EF}</author>
  </authors>
  <commentList>
    <comment ref="D2" authorId="0" shapeId="0" xr:uid="{2CA65E9E-10D3-4972-AEF8-BD67F06C1E56}">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0E05C5AF-213A-438D-87F3-D4FD34E8886E}">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60F4A00E-FD5E-4D65-953B-84B9624FCB4D}">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9BE76DEF-12A5-4623-ABFC-E40F450D37EF}">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tc={366089F4-1A72-4236-B2AA-EFF3BA7A146B}</author>
    <author>tc={C3036597-365D-49D9-9928-3C4D09D2DA17}</author>
  </authors>
  <commentList>
    <comment ref="C4" authorId="0" shapeId="0" xr:uid="{366089F4-1A72-4236-B2AA-EFF3BA7A146B}">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Q4" authorId="1" shapeId="0" xr:uid="{C3036597-365D-49D9-9928-3C4D09D2DA17}">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tc={13EDB6C2-A6C0-4DAB-8B5E-C530D5C0DBC5}</author>
    <author>tc={9AE1B40F-1917-4E2A-950B-829FA48BCC91}</author>
  </authors>
  <commentList>
    <comment ref="C4" authorId="0" shapeId="0" xr:uid="{13EDB6C2-A6C0-4DAB-8B5E-C530D5C0DBC5}">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Q4" authorId="1" shapeId="0" xr:uid="{9AE1B40F-1917-4E2A-950B-829FA48BCC91}">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tc={0D9FF792-9B9F-4E01-A2EC-314D09D0F79B}</author>
  </authors>
  <commentList>
    <comment ref="N7" authorId="0" shapeId="0" xr:uid="{0D9FF792-9B9F-4E01-A2EC-314D09D0F79B}">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tc={257EB6E5-A5B4-4035-A10C-61F7E948823A}</author>
    <author>tc={33843CE9-1FBA-4E80-A46C-6063825CC34E}</author>
    <author>tc={464BCB03-DF29-4A56-98BD-25171A5BCE17}</author>
    <author>tc={5B25FF99-CBDE-449F-91F3-60BD21C3D0F0}</author>
    <author>tc={2FD8CB90-1AD0-4D4D-9554-60D10A199ECD}</author>
    <author>tc={9C17FFC0-667B-4157-A0D6-EC9032369064}</author>
    <author>tc={5D0CCACC-B2F2-4611-B739-0E6438AAD0A0}</author>
    <author>tc={455DEC4A-598B-4EAD-A507-F02338CBFF09}</author>
    <author>tc={1F08ADB8-403F-4DC0-B95B-415F93F6DCF9}</author>
  </authors>
  <commentList>
    <comment ref="E1" authorId="0" shapeId="0" xr:uid="{257EB6E5-A5B4-4035-A10C-61F7E948823A}">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33843CE9-1FBA-4E80-A46C-6063825CC34E}">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464BCB03-DF29-4A56-98BD-25171A5BCE17}">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5B25FF99-CBDE-449F-91F3-60BD21C3D0F0}">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2FD8CB90-1AD0-4D4D-9554-60D10A199ECD}">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9C17FFC0-667B-4157-A0D6-EC9032369064}">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5D0CCACC-B2F2-4611-B739-0E6438AAD0A0}">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455DEC4A-598B-4EAD-A507-F02338CBFF09}">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1F08ADB8-403F-4DC0-B95B-415F93F6DCF9}">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<sst xmlns="http://schemas.openxmlformats.org/spreadsheetml/2006/main" count="900" uniqueCount="371">
  <si>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</si>
  <si>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</si>
  <si>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</si>
  <si>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</si>
  <si>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</si>
  <si>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</si>
  <si>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</si>
  <si>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</si>
  <si>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</si>
  <si>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</si>
  <si>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</si>
  <si>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</si>
  <si>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</si>
  <si>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</si>
  <si>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</si>
  <si>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</si>
  <si>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</si>
  <si>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</si>
  <si>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</si>
  <si>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</si>
  <si>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</si>
  <si>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</si>
  <si>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</si>
  <si>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</si>
  <si>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</si>
  <si>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</si>
  <si>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</si>
  <si>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</si>
  <si>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</si>
  <si>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</si>
  <si>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</si>
  <si>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</si>
  <si>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</si>
  <si>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</si>
  <si>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</si>
  <si>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</si>
  <si>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</si>
  <si>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</si>
  <si>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</si>
  <si>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</si>
  <si>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</si>
  <si>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</si>
  <si>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</si>
  <si>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</si>
  <si>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</si>
  <si>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</si>
  <si>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</si>
  <si>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</si>
  <si>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</si>
  <si>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</si>
  <si>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</si>
  <si>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</si>
  <si>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</si>
  <si>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</si>
  <si>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</si>
  <si>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</si>
  <si>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</si>
  <si>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</si>
  <si>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</si>
  <si>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</si>
  <si>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</si>
  <si>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</si>
  <si>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</si>
  <si>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</si>
  <si>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</si>
  <si>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</si>
  <si>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DO NOT MODIFY THESE ENTRIES</t>
  </si>
  <si>
    <t>(Used to populate headers in the scoresheets)</t>
  </si>
  <si>
    <t>Nosh</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</si>
  <si>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</si>
  <si>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</si>
  <si>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</si>
  <si>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</si>
  <si>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</si>
  <si>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</si>
  <si>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</si>
  <si>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</si>
  <si>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</si>
  <si>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</si>
  <si>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</si>
  <si>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</si>
  <si>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</si>
  <si>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Kristyn Sergio</t>
  </si>
  <si>
    <t>Carleton University</t>
  </si>
  <si>
    <t>fraterk@sbcglobal.net</t>
  </si>
  <si>
    <t>Project 2</t>
  </si>
  <si>
    <t>Chu Vanallen</t>
  </si>
  <si>
    <t>Cégep de Chicoutimi</t>
  </si>
  <si>
    <t>kassiesa@outlook.com</t>
  </si>
  <si>
    <t>Project 3</t>
  </si>
  <si>
    <t>Yetta Cisneros</t>
  </si>
  <si>
    <t>Cégep de Sainte-Foy</t>
  </si>
  <si>
    <t>lcheng@yahoo.com</t>
  </si>
  <si>
    <t>Project 4</t>
  </si>
  <si>
    <t>Henriette Wilford</t>
  </si>
  <si>
    <t>Cégep de Shawinigan</t>
  </si>
  <si>
    <t>isotopian@live.com</t>
  </si>
  <si>
    <t>Project 5</t>
  </si>
  <si>
    <t>Era Vandervoort</t>
  </si>
  <si>
    <t>Cégep de Sherbrooke</t>
  </si>
  <si>
    <t>parksh@att.net</t>
  </si>
  <si>
    <t>Project 6</t>
  </si>
  <si>
    <t>Elmer Seawood</t>
  </si>
  <si>
    <t>Collège de Rosemont</t>
  </si>
  <si>
    <t>violinhi@optonline.net</t>
  </si>
  <si>
    <t>Project 7</t>
  </si>
  <si>
    <t>Aldo Range</t>
  </si>
  <si>
    <t>Collège Montmorency</t>
  </si>
  <si>
    <t>aegreene@verizon.net</t>
  </si>
  <si>
    <t>Project 8</t>
  </si>
  <si>
    <t>Dena Demas</t>
  </si>
  <si>
    <t>John Abbott College</t>
  </si>
  <si>
    <t>sekiya@optonline.net</t>
  </si>
  <si>
    <t>Project 9</t>
  </si>
  <si>
    <t>Gerard Cutright</t>
  </si>
  <si>
    <t>Lakehead University</t>
  </si>
  <si>
    <t>damian@yahoo.ca</t>
  </si>
  <si>
    <t>Project 10</t>
  </si>
  <si>
    <t>Rueben Dagenhart</t>
  </si>
  <si>
    <t>McMaster University</t>
  </si>
  <si>
    <t>noodles@me.com</t>
  </si>
  <si>
    <t>Project 11</t>
  </si>
  <si>
    <t>Mariella Seibel</t>
  </si>
  <si>
    <t>Redeemer University</t>
  </si>
  <si>
    <t>danny@outlook.com</t>
  </si>
  <si>
    <t>Project 12</t>
  </si>
  <si>
    <t>Shanta Monterrosa</t>
  </si>
  <si>
    <t>Athabasca University</t>
  </si>
  <si>
    <t>miltchev@me.com</t>
  </si>
  <si>
    <t>Project 13</t>
  </si>
  <si>
    <t>Danica Lando</t>
  </si>
  <si>
    <t>Capilano University*</t>
  </si>
  <si>
    <t>okroeger@yahoo.ca</t>
  </si>
  <si>
    <t>Project 14</t>
  </si>
  <si>
    <t>Roger Richart</t>
  </si>
  <si>
    <t>Cégep de Baie-Comeau</t>
  </si>
  <si>
    <t>fwitness@outlook.com</t>
  </si>
  <si>
    <t>Project 15</t>
  </si>
  <si>
    <t>Letisha Gulick</t>
  </si>
  <si>
    <t>Cégep de l’Outaouais</t>
  </si>
  <si>
    <t>jfmulder@live.com</t>
  </si>
  <si>
    <t>Project 16</t>
  </si>
  <si>
    <t>Terica Cathcart</t>
  </si>
  <si>
    <t>Cégep de Sorel-Tracy</t>
  </si>
  <si>
    <t>chaffar@live.com</t>
  </si>
  <si>
    <t>Project 17</t>
  </si>
  <si>
    <t>Cecilia Argueta</t>
  </si>
  <si>
    <t>Cégep Marie-Victorin</t>
  </si>
  <si>
    <t>dwheeler@att.net</t>
  </si>
  <si>
    <t>Project 18</t>
  </si>
  <si>
    <t>Janella Heeter</t>
  </si>
  <si>
    <t>Concordia University</t>
  </si>
  <si>
    <t>enintend@me.com</t>
  </si>
  <si>
    <t>Project 19</t>
  </si>
  <si>
    <t>Reta Godard</t>
  </si>
  <si>
    <t>Dalhousie University</t>
  </si>
  <si>
    <t>payned@comcast.net</t>
  </si>
  <si>
    <t>Project 20</t>
  </si>
  <si>
    <t>Irene Eagles</t>
  </si>
  <si>
    <t>George Brown College</t>
  </si>
  <si>
    <t>eurohack@msn.com</t>
  </si>
  <si>
    <t>Project 21</t>
  </si>
  <si>
    <t>Christin Mabrey</t>
  </si>
  <si>
    <t>Medicine Hat College</t>
  </si>
  <si>
    <t>eabrown@yahoo.ca</t>
  </si>
  <si>
    <t>Project 22</t>
  </si>
  <si>
    <t>Jinny Dilorenzo</t>
  </si>
  <si>
    <t>Nipissing University</t>
  </si>
  <si>
    <t>rhavyn@me.com</t>
  </si>
  <si>
    <t>Project 23</t>
  </si>
  <si>
    <t>Yajaira Abbe</t>
  </si>
  <si>
    <t>North Island College</t>
  </si>
  <si>
    <t>kostas@hotmail.com</t>
  </si>
  <si>
    <t>Project 24</t>
  </si>
  <si>
    <t>Misti Joslyn</t>
  </si>
  <si>
    <t>St. Lawrence College</t>
  </si>
  <si>
    <t>tsuruta@icloud.com</t>
  </si>
  <si>
    <t>Project 25</t>
  </si>
  <si>
    <t>Norbert Trice</t>
  </si>
  <si>
    <t>University of Guelph</t>
  </si>
  <si>
    <t>mcrawfor@aol.com</t>
  </si>
  <si>
    <t>Marker #</t>
  </si>
  <si>
    <t>Marker Name</t>
  </si>
  <si>
    <t># of teams mentoring</t>
  </si>
  <si>
    <t>Number of Markers</t>
  </si>
  <si>
    <t>Cégep de Saint-Hyacinthe</t>
  </si>
  <si>
    <t>carreras@me.com</t>
  </si>
  <si>
    <t>College of New Caledonia</t>
  </si>
  <si>
    <t>mcsporran@optonline.net</t>
  </si>
  <si>
    <t>Grant MacEwan University</t>
  </si>
  <si>
    <t>rgiersig@mac.com</t>
  </si>
  <si>
    <t>Mount Allison University</t>
  </si>
  <si>
    <t>storerm@gmail.com</t>
  </si>
  <si>
    <t>Saskatchewan Polytechnic</t>
  </si>
  <si>
    <t>rnewman@att.net</t>
  </si>
  <si>
    <t>Université de Sherbrooke</t>
  </si>
  <si>
    <t>demmel@att.net</t>
  </si>
  <si>
    <t>University of Lethbridge</t>
  </si>
  <si>
    <t>houle@mac.com</t>
  </si>
  <si>
    <t>Parkland Regional College</t>
  </si>
  <si>
    <t>philb@yahoo.ca</t>
  </si>
  <si>
    <t>Champlain Regional College</t>
  </si>
  <si>
    <t>zwood@att.net</t>
  </si>
  <si>
    <t>The University of Winnipeg</t>
  </si>
  <si>
    <t>tangsh@comcast.net</t>
  </si>
  <si>
    <t>List the Keywords Important for this Competition</t>
  </si>
  <si>
    <t>Keyword #</t>
  </si>
  <si>
    <t>Broad areas</t>
  </si>
  <si>
    <t>Subtopics</t>
  </si>
  <si>
    <t>Subtopic Weight</t>
  </si>
  <si>
    <t># of keywords</t>
  </si>
  <si>
    <t>Sum of weights</t>
  </si>
  <si>
    <t>Keyword 1</t>
  </si>
  <si>
    <t>Keyword 2</t>
  </si>
  <si>
    <t>Keyword 3</t>
  </si>
  <si>
    <t>Keyword 4</t>
  </si>
  <si>
    <t>Keyword 5</t>
  </si>
  <si>
    <t>Keyword 6</t>
  </si>
  <si>
    <t>Keyword 7</t>
  </si>
  <si>
    <t>Keyword 8</t>
  </si>
  <si>
    <t>Keyword 9</t>
  </si>
  <si>
    <t>Keyword 10</t>
  </si>
  <si>
    <t>Keyword 11</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</si>
  <si>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</si>
  <si>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</si>
  <si>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</si>
  <si>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</si>
  <si>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</si>
  <si>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</si>
  <si>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</si>
  <si>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</si>
  <si>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</si>
  <si>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</si>
  <si>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</si>
  <si>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</si>
  <si>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</si>
  <si>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</si>
  <si>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</si>
  <si>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</si>
  <si>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</si>
  <si>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</si>
  <si>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</si>
  <si>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</si>
  <si>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</si>
  <si>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</si>
  <si>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</si>
  <si>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</si>
  <si>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</si>
  <si>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</si>
  <si>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</si>
  <si>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</si>
  <si>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</si>
  <si>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</si>
  <si>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</si>
  <si>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</si>
  <si>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</si>
  <si>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</si>
  <si>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</si>
  <si>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</si>
  <si>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</si>
  <si>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</si>
  <si>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</si>
  <si>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</si>
  <si>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</si>
  <si>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</si>
  <si>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</si>
  <si>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</si>
  <si>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</si>
  <si>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</si>
  <si>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</si>
  <si>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</si>
  <si>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</si>
  <si>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</si>
  <si>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</si>
  <si>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</si>
  <si>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MAX-&gt;</t>
  </si>
  <si>
    <t>All Criteria Scored?</t>
  </si>
  <si>
    <t># Useful Scores</t>
  </si>
  <si>
    <t>Sum of scores</t>
  </si>
  <si>
    <t># of scores used</t>
  </si>
  <si>
    <t>Total of Scores</t>
  </si>
  <si>
    <t>Average</t>
  </si>
  <si>
    <t>Normalization Factor</t>
  </si>
  <si>
    <t>Total score</t>
  </si>
  <si>
    <t>Criteria&gt;</t>
  </si>
  <si>
    <t># of Markers</t>
  </si>
  <si>
    <t>Final Total</t>
  </si>
  <si>
    <t>Minimum</t>
  </si>
  <si>
    <t>Maximum</t>
  </si>
  <si>
    <t>Valid Criteria Score? (1 = yes)</t>
  </si>
  <si>
    <t># scores</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</si>
  <si>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</si>
  <si>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</si>
  <si>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</si>
  <si>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</si>
  <si>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</si>
  <si>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</si>
  <si>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</si>
  <si>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</si>
  <si>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</si>
  <si>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</si>
  <si>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</si>
  <si>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</si>
  <si>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</si>
  <si>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</si>
  <si>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</si>
  <si>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</si>
  <si>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</si>
  <si>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</si>
  <si>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</si>
  <si>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</si>
  <si>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</si>
  <si>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</si>
  <si>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</si>
  <si>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</si>
  <si>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</si>
  <si>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</si>
  <si>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</si>
  <si>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</si>
  <si>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</si>
  <si>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</si>
  <si>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</si>
  <si>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</si>
  <si>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</si>
  <si>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</si>
  <si>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</si>
  <si>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</si>
  <si>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</si>
  <si>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</si>
  <si>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</si>
  <si>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</si>
  <si>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</si>
  <si>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</si>
  <si>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</si>
  <si>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</si>
  <si>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</si>
  <si>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</si>
  <si>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</si>
  <si>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</si>
  <si>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</si>
  <si>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</si>
  <si>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</si>
  <si>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Thanks you for your contributions to this competition.</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</si>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</sst>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sz val="13"/>
      <color indexed="81"/>
      <name val="Tahoma"/>
      <family val="2"/>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8">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4" fillId="0" borderId="0" xfId="0" applyFont="1" applyAlignment="1">
      <alignment horizontal="center"/>
    </xf>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0" borderId="14" xfId="0" applyBorder="1" applyAlignment="1">
      <alignment horizontal="center" vertical="center"/>
    </xf>
    <xf numFmtId="0" fontId="0" fillId="2" borderId="15" xfId="0" applyFill="1" applyBorder="1" applyAlignment="1">
      <alignment horizontal="right"/>
    </xf>
    <xf numFmtId="0" fontId="0" fillId="2" borderId="0" xfId="0" applyFill="1" applyAlignment="1">
      <alignment horizontal="right"/>
    </xf>
    <xf numFmtId="0" fontId="0" fillId="0" borderId="16" xfId="0" applyBorder="1" applyAlignment="1">
      <alignment horizontal="center" vertical="center"/>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0" borderId="24" xfId="0" applyBorder="1" applyAlignment="1">
      <alignment horizontal="center" vertical="center"/>
    </xf>
    <xf numFmtId="0" fontId="0" fillId="3" borderId="19" xfId="0" applyFill="1" applyBorder="1" applyAlignment="1">
      <alignment horizont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8"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9"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3" fillId="2" borderId="1" xfId="0" applyFont="1" applyFill="1" applyBorder="1" applyAlignment="1">
      <alignment horizontal="center" textRotation="90"/>
    </xf>
    <xf numFmtId="0" fontId="10" fillId="2" borderId="2" xfId="0" applyFont="1" applyFill="1" applyBorder="1"/>
    <xf numFmtId="0" fontId="10" fillId="2" borderId="0" xfId="0" applyFont="1" applyFill="1"/>
    <xf numFmtId="0" fontId="10" fillId="2" borderId="0" xfId="0" applyFont="1" applyFill="1" applyAlignment="1">
      <alignment horizontal="center"/>
    </xf>
    <xf numFmtId="0" fontId="10" fillId="2" borderId="9" xfId="0" applyFont="1" applyFill="1" applyBorder="1"/>
    <xf numFmtId="0" fontId="3" fillId="2" borderId="27" xfId="0" applyFont="1" applyFill="1" applyBorder="1" applyAlignment="1">
      <alignment horizontal="center" textRotation="90" wrapText="1"/>
    </xf>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3" fillId="2" borderId="3" xfId="0" applyFont="1" applyFill="1" applyBorder="1" applyAlignment="1">
      <alignment horizontal="center" textRotation="90"/>
    </xf>
    <xf numFmtId="0" fontId="1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0" xfId="0" applyFont="1" applyFill="1" applyBorder="1" applyAlignment="1">
      <alignment horizontal="center" textRotation="90"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2" borderId="35" xfId="0" applyFill="1" applyBorder="1" applyAlignment="1">
      <alignment horizontal="left" wrapText="1"/>
    </xf>
    <xf numFmtId="0" fontId="0" fillId="2" borderId="12" xfId="0" applyFill="1" applyBorder="1" applyAlignment="1">
      <alignment horizontal="left" wrapText="1"/>
    </xf>
    <xf numFmtId="0" fontId="0" fillId="0" borderId="0" xfId="0" applyAlignment="1">
      <alignment horizontal="left"/>
    </xf>
    <xf numFmtId="0" fontId="3" fillId="0" borderId="0" xfId="0" applyFont="1" applyAlignment="1">
      <alignment horizontal="left" vertical="top"/>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4"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1" xfId="0" applyFill="1" applyBorder="1" applyAlignment="1">
      <alignment horizontal="center"/>
    </xf>
    <xf numFmtId="1" fontId="3" fillId="2" borderId="34" xfId="0" applyNumberFormat="1" applyFont="1" applyFill="1" applyBorder="1" applyAlignment="1">
      <alignment horizontal="center"/>
    </xf>
    <xf numFmtId="0" fontId="3" fillId="7" borderId="0" xfId="0" applyFont="1" applyFill="1"/>
    <xf numFmtId="1" fontId="3" fillId="7" borderId="0" xfId="0" applyNumberFormat="1" applyFont="1" applyFill="1" applyAlignment="1">
      <alignment horizontal="center"/>
    </xf>
    <xf numFmtId="0" fontId="3" fillId="8" borderId="10" xfId="0" applyFont="1" applyFill="1" applyBorder="1" applyAlignment="1">
      <alignment horizontal="center"/>
    </xf>
    <xf numFmtId="0" fontId="3" fillId="8" borderId="2" xfId="0" applyFont="1" applyFill="1" applyBorder="1" applyAlignment="1">
      <alignment horizontal="right"/>
    </xf>
    <xf numFmtId="43" fontId="0" fillId="2" borderId="53" xfId="1" applyFont="1" applyFill="1" applyBorder="1"/>
    <xf numFmtId="9" fontId="0" fillId="2" borderId="53" xfId="1" applyNumberFormat="1" applyFont="1" applyFill="1" applyBorder="1"/>
    <xf numFmtId="0" fontId="3" fillId="9" borderId="8" xfId="0" applyFont="1" applyFill="1" applyBorder="1"/>
    <xf numFmtId="165"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7" borderId="32" xfId="0" applyFont="1" applyFill="1" applyBorder="1" applyAlignment="1">
      <alignment horizontal="center" vertical="top" textRotation="90" wrapText="1"/>
    </xf>
    <xf numFmtId="0" fontId="3" fillId="7" borderId="1" xfId="0" applyFont="1" applyFill="1" applyBorder="1" applyAlignment="1">
      <alignment horizontal="center" textRotation="90"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5"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5"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0" fontId="3" fillId="7" borderId="22" xfId="0" applyFont="1" applyFill="1" applyBorder="1" applyAlignment="1">
      <alignment horizontal="center" textRotation="90" wrapText="1"/>
    </xf>
    <xf numFmtId="164" fontId="0" fillId="8" borderId="1" xfId="0" applyNumberFormat="1" applyFill="1" applyBorder="1"/>
    <xf numFmtId="166"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37" xfId="0" applyFill="1" applyBorder="1"/>
    <xf numFmtId="165"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4"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5" fontId="0" fillId="8" borderId="1" xfId="1" applyNumberFormat="1" applyFont="1" applyFill="1" applyBorder="1"/>
    <xf numFmtId="164"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5" fontId="0" fillId="9" borderId="1" xfId="1" applyNumberFormat="1" applyFont="1" applyFill="1" applyBorder="1"/>
    <xf numFmtId="0" fontId="0" fillId="10" borderId="1" xfId="0" applyFill="1" applyBorder="1" applyAlignment="1">
      <alignment horizontal="center"/>
    </xf>
    <xf numFmtId="165" fontId="0" fillId="10" borderId="1" xfId="1" applyNumberFormat="1" applyFont="1" applyFill="1" applyBorder="1"/>
    <xf numFmtId="166" fontId="0" fillId="10" borderId="1" xfId="1" applyNumberFormat="1" applyFont="1" applyFill="1" applyBorder="1" applyAlignment="1">
      <alignment horizontal="center" vertical="center"/>
    </xf>
    <xf numFmtId="165"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4" fontId="0" fillId="9" borderId="1" xfId="0" applyNumberFormat="1" applyFill="1" applyBorder="1" applyAlignment="1">
      <alignment horizontal="center"/>
    </xf>
    <xf numFmtId="164" fontId="3" fillId="9" borderId="1" xfId="0" applyNumberFormat="1" applyFont="1" applyFill="1" applyBorder="1" applyAlignment="1">
      <alignment horizontal="center"/>
    </xf>
    <xf numFmtId="164" fontId="0" fillId="10" borderId="1" xfId="0" applyNumberFormat="1" applyFill="1" applyBorder="1" applyAlignment="1">
      <alignment horizontal="center"/>
    </xf>
    <xf numFmtId="164"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2" fillId="2" borderId="1" xfId="0" applyFont="1" applyFill="1" applyBorder="1" applyAlignment="1">
      <alignment horizontal="center" vertical="center" textRotation="90"/>
    </xf>
    <xf numFmtId="0" fontId="13" fillId="2" borderId="3" xfId="0" applyFont="1" applyFill="1" applyBorder="1" applyAlignment="1">
      <alignment horizontal="center" vertical="center" wrapText="1"/>
    </xf>
    <xf numFmtId="0" fontId="0" fillId="10" borderId="0" xfId="0" applyFill="1"/>
    <xf numFmtId="0" fontId="14" fillId="2" borderId="1" xfId="0" applyFont="1" applyFill="1" applyBorder="1" applyAlignment="1">
      <alignment vertical="center" wrapText="1"/>
    </xf>
    <xf numFmtId="0" fontId="0" fillId="2" borderId="1" xfId="0" applyFill="1" applyBorder="1" applyAlignment="1">
      <alignment vertical="center"/>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3"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5" fillId="2" borderId="8" xfId="0" applyFont="1" applyFill="1" applyBorder="1" applyAlignment="1">
      <alignment horizontal="center"/>
    </xf>
    <xf numFmtId="0" fontId="0" fillId="2" borderId="44" xfId="0" applyFill="1" applyBorder="1"/>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6" fillId="0" borderId="6" xfId="0" applyFont="1" applyBorder="1" applyAlignment="1">
      <alignment horizontal="center" vertical="center" wrapText="1"/>
    </xf>
    <xf numFmtId="0" fontId="16" fillId="0" borderId="54" xfId="0" applyFont="1" applyBorder="1" applyAlignment="1">
      <alignment horizontal="center" vertical="center" wrapText="1"/>
    </xf>
    <xf numFmtId="0" fontId="3" fillId="2" borderId="55" xfId="0" applyFont="1" applyFill="1" applyBorder="1"/>
    <xf numFmtId="0" fontId="0" fillId="2" borderId="3" xfId="0" applyFill="1" applyBorder="1" applyAlignment="1">
      <alignment horizontal="center"/>
    </xf>
    <xf numFmtId="0" fontId="16" fillId="0" borderId="18" xfId="0" applyFont="1" applyBorder="1" applyAlignment="1">
      <alignment horizontal="center" vertical="center" wrapText="1"/>
    </xf>
    <xf numFmtId="0" fontId="16" fillId="0" borderId="20" xfId="0" applyFont="1" applyBorder="1" applyAlignment="1">
      <alignment horizontal="center" vertical="center" wrapText="1"/>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8" fillId="12" borderId="48" xfId="0" applyFont="1" applyFill="1" applyBorder="1" applyAlignment="1">
      <alignment horizontal="center"/>
    </xf>
    <xf numFmtId="0" fontId="0" fillId="2" borderId="18" xfId="0" applyFill="1" applyBorder="1"/>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42" xfId="0" applyFill="1" applyBorder="1" applyAlignment="1">
      <alignment horizontal="left"/>
    </xf>
    <xf numFmtId="0" fontId="0" fillId="2" borderId="62" xfId="0" applyFill="1" applyBorder="1" applyAlignment="1">
      <alignment horizontal="left"/>
    </xf>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7" fillId="0" borderId="4" xfId="0" applyFont="1" applyBorder="1" applyAlignment="1">
      <alignment horizontal="left" vertical="center"/>
    </xf>
    <xf numFmtId="0" fontId="17" fillId="0" borderId="6" xfId="0" applyFont="1" applyBorder="1" applyAlignment="1">
      <alignment horizontal="center" vertical="center"/>
    </xf>
    <xf numFmtId="0" fontId="17" fillId="2" borderId="6" xfId="0" applyFont="1" applyFill="1" applyBorder="1" applyAlignment="1">
      <alignment horizontal="center" vertical="center"/>
    </xf>
    <xf numFmtId="0" fontId="17"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4" fontId="0" fillId="0" borderId="42" xfId="0" applyNumberFormat="1" applyBorder="1" applyAlignment="1">
      <alignment horizontal="center"/>
    </xf>
    <xf numFmtId="164" fontId="0" fillId="2" borderId="1" xfId="0" applyNumberFormat="1" applyFill="1" applyBorder="1" applyAlignment="1">
      <alignment horizontal="center"/>
    </xf>
    <xf numFmtId="164"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4"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4"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15" fillId="2" borderId="64" xfId="0" applyFont="1" applyFill="1" applyBorder="1" applyAlignment="1">
      <alignment horizontal="center" vertical="center"/>
    </xf>
    <xf numFmtId="0" fontId="18" fillId="2" borderId="33" xfId="0" applyFont="1" applyFill="1" applyBorder="1" applyAlignment="1">
      <alignment horizontal="center" wrapText="1"/>
    </xf>
    <xf numFmtId="0" fontId="18" fillId="2" borderId="56" xfId="0" applyFont="1" applyFill="1" applyBorder="1" applyAlignment="1">
      <alignment horizontal="center" wrapText="1"/>
    </xf>
    <xf numFmtId="0" fontId="18" fillId="2" borderId="34" xfId="0" applyFont="1" applyFill="1" applyBorder="1" applyAlignment="1">
      <alignment horizontal="center" wrapText="1"/>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3" fillId="2" borderId="16"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0" fillId="7" borderId="3" xfId="0" applyFill="1" applyBorder="1" applyAlignment="1">
      <alignment horizontal="center" textRotation="90"/>
    </xf>
    <xf numFmtId="0" fontId="0" fillId="7" borderId="26" xfId="0" applyFill="1" applyBorder="1" applyAlignment="1">
      <alignment horizontal="center" textRotation="90"/>
    </xf>
    <xf numFmtId="0" fontId="0" fillId="7" borderId="22" xfId="0"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164" fontId="0" fillId="0" borderId="1" xfId="2" applyNumberFormat="1" applyFont="1" applyBorder="1" applyAlignment="1">
      <alignment horizontal="center"/>
    </xf>
    <xf numFmtId="164" fontId="0" fillId="0" borderId="22" xfId="0" applyNumberFormat="1" applyBorder="1" applyAlignment="1">
      <alignment horizontal="center"/>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0" fontId="3" fillId="8" borderId="0" xfId="0" applyFont="1" applyFill="1" applyBorder="1" applyAlignment="1">
      <alignment horizontal="left" vertical="center"/>
    </xf>
    <xf numFmtId="0" fontId="3" fillId="9" borderId="15" xfId="0" applyFont="1" applyFill="1" applyBorder="1" applyAlignment="1">
      <alignment horizontal="left" vertical="center"/>
    </xf>
    <xf numFmtId="0" fontId="3" fillId="9" borderId="0" xfId="0" applyFont="1" applyFill="1" applyBorder="1" applyAlignment="1">
      <alignment horizontal="left" vertical="center"/>
    </xf>
    <xf numFmtId="0" fontId="3" fillId="10" borderId="0" xfId="0" applyFont="1" applyFill="1" applyBorder="1" applyAlignment="1">
      <alignment horizontal="left" vertical="center"/>
    </xf>
    <xf numFmtId="164" fontId="3" fillId="9" borderId="8" xfId="0" applyNumberFormat="1" applyFont="1" applyFill="1" applyBorder="1" applyAlignment="1">
      <alignment horizontal="left"/>
    </xf>
    <xf numFmtId="164" fontId="3" fillId="9" borderId="26" xfId="0" applyNumberFormat="1" applyFont="1" applyFill="1" applyBorder="1" applyAlignment="1">
      <alignment horizontal="center"/>
    </xf>
    <xf numFmtId="164" fontId="3" fillId="9" borderId="3" xfId="0" applyNumberFormat="1" applyFont="1" applyFill="1" applyBorder="1" applyAlignment="1">
      <alignment horizontal="center" textRotation="90"/>
    </xf>
    <xf numFmtId="164" fontId="3" fillId="0" borderId="0" xfId="0" applyNumberFormat="1" applyFont="1"/>
    <xf numFmtId="164" fontId="3" fillId="9" borderId="8" xfId="0" applyNumberFormat="1" applyFont="1" applyFill="1" applyBorder="1" applyAlignment="1">
      <alignment horizontal="right"/>
    </xf>
    <xf numFmtId="164" fontId="3" fillId="9" borderId="8" xfId="0" applyNumberFormat="1" applyFont="1" applyFill="1" applyBorder="1" applyAlignment="1">
      <alignment horizontal="center" vertical="center"/>
    </xf>
    <xf numFmtId="164" fontId="3" fillId="10" borderId="8" xfId="0" applyNumberFormat="1" applyFont="1" applyFill="1" applyBorder="1" applyAlignment="1">
      <alignment horizontal="center"/>
    </xf>
    <xf numFmtId="164" fontId="3" fillId="10" borderId="26" xfId="0" applyNumberFormat="1" applyFont="1" applyFill="1" applyBorder="1" applyAlignment="1">
      <alignment horizontal="center"/>
    </xf>
    <xf numFmtId="164" fontId="3" fillId="10" borderId="3" xfId="0" applyNumberFormat="1" applyFont="1" applyFill="1" applyBorder="1" applyAlignment="1">
      <alignment horizontal="center" textRotation="90"/>
    </xf>
    <xf numFmtId="164" fontId="3" fillId="10" borderId="8" xfId="0" applyNumberFormat="1" applyFont="1" applyFill="1" applyBorder="1" applyAlignment="1">
      <alignment horizontal="right"/>
    </xf>
    <xf numFmtId="164"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Analysis!$K$4:$K$28</c:f>
              <c:numCache>
                <c:formatCode>0.0</c:formatCode>
                <c:ptCount val="25"/>
                <c:pt idx="0">
                  <c:v>3.6439681053161621</c:v>
                </c:pt>
                <c:pt idx="1">
                  <c:v>2.7248775959014893</c:v>
                </c:pt>
                <c:pt idx="2">
                  <c:v>4.085024356842041</c:v>
                </c:pt>
                <c:pt idx="3">
                  <c:v>2.2680022716522217</c:v>
                </c:pt>
                <c:pt idx="4">
                  <c:v>3.6657097339630127</c:v>
                </c:pt>
                <c:pt idx="5">
                  <c:v>2.9425680637359619</c:v>
                </c:pt>
                <c:pt idx="6">
                  <c:v>6.30460524559021</c:v>
                </c:pt>
                <c:pt idx="7">
                  <c:v>0.59853768348693848</c:v>
                </c:pt>
                <c:pt idx="8">
                  <c:v>7.8849830627441406</c:v>
                </c:pt>
                <c:pt idx="9">
                  <c:v>5.2548723220825195</c:v>
                </c:pt>
                <c:pt idx="10">
                  <c:v>4.7926599979400635</c:v>
                </c:pt>
                <c:pt idx="11">
                  <c:v>2.923473596572876</c:v>
                </c:pt>
                <c:pt idx="12">
                  <c:v>2.8623809814453125</c:v>
                </c:pt>
                <c:pt idx="13">
                  <c:v>6.4861404895782471</c:v>
                </c:pt>
                <c:pt idx="14">
                  <c:v>2.586848258972168</c:v>
                </c:pt>
                <c:pt idx="15">
                  <c:v>2.3523623943328857</c:v>
                </c:pt>
                <c:pt idx="16">
                  <c:v>2.2620928287506104</c:v>
                </c:pt>
                <c:pt idx="17">
                  <c:v>5.0247576236724854</c:v>
                </c:pt>
                <c:pt idx="18">
                  <c:v>2.816871166229248</c:v>
                </c:pt>
                <c:pt idx="19">
                  <c:v>3.2915093898773193</c:v>
                </c:pt>
                <c:pt idx="20">
                  <c:v>1.3507683277130127</c:v>
                </c:pt>
                <c:pt idx="21">
                  <c:v>4.6044633388519287</c:v>
                </c:pt>
                <c:pt idx="22">
                  <c:v>5.7521793842315674</c:v>
                </c:pt>
                <c:pt idx="23">
                  <c:v>1.898733377456665</c:v>
                </c:pt>
                <c:pt idx="24">
                  <c:v>4.3540668487548828</c:v>
                </c:pt>
              </c:numCache>
            </c:numRef>
          </c:val>
          <c:smooth val="0"/>
          <c:extLst>
            <c:ext xmlns:c16="http://schemas.microsoft.com/office/drawing/2014/chart" uri="{C3380CC4-5D6E-409C-BE32-E72D297353CC}">
              <c16:uniqueId val="{00000000-F8BA-452F-9A7E-E6B788EBB142}"/>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Analysis!$S$4:$S$28</c:f>
              <c:numCache>
                <c:formatCode>0.0</c:formatCode>
                <c:ptCount val="25"/>
                <c:pt idx="0">
                  <c:v>8.7536594457733514</c:v>
                </c:pt>
                <c:pt idx="1">
                  <c:v>9.0887190275747844</c:v>
                </c:pt>
                <c:pt idx="2">
                  <c:v>9.3784689060935555</c:v>
                </c:pt>
                <c:pt idx="3">
                  <c:v>9.5716966860023547</c:v>
                </c:pt>
                <c:pt idx="4">
                  <c:v>9.6551431086662252</c:v>
                </c:pt>
                <c:pt idx="5">
                  <c:v>9.8069719588124986</c:v>
                </c:pt>
                <c:pt idx="6">
                  <c:v>9.9600127536008767</c:v>
                </c:pt>
                <c:pt idx="7">
                  <c:v>10.080965712376846</c:v>
                </c:pt>
                <c:pt idx="8">
                  <c:v>10.416203098718306</c:v>
                </c:pt>
                <c:pt idx="9">
                  <c:v>10.558568074271216</c:v>
                </c:pt>
                <c:pt idx="10">
                  <c:v>10.585796469435159</c:v>
                </c:pt>
                <c:pt idx="11">
                  <c:v>10.622387091910598</c:v>
                </c:pt>
                <c:pt idx="12">
                  <c:v>10.907152363216326</c:v>
                </c:pt>
                <c:pt idx="13">
                  <c:v>11.089700336211376</c:v>
                </c:pt>
                <c:pt idx="14">
                  <c:v>11.094573448692401</c:v>
                </c:pt>
                <c:pt idx="15">
                  <c:v>11.233806373134493</c:v>
                </c:pt>
                <c:pt idx="16">
                  <c:v>11.323335460953977</c:v>
                </c:pt>
                <c:pt idx="17">
                  <c:v>11.498287100011957</c:v>
                </c:pt>
                <c:pt idx="18">
                  <c:v>11.506576238626943</c:v>
                </c:pt>
                <c:pt idx="19">
                  <c:v>11.609188633864443</c:v>
                </c:pt>
                <c:pt idx="20">
                  <c:v>11.864518365511302</c:v>
                </c:pt>
                <c:pt idx="21">
                  <c:v>11.96587591484572</c:v>
                </c:pt>
                <c:pt idx="22">
                  <c:v>12.05706808814746</c:v>
                </c:pt>
                <c:pt idx="23">
                  <c:v>12.323444693252123</c:v>
                </c:pt>
                <c:pt idx="24">
                  <c:v>12.840808147835574</c:v>
                </c:pt>
              </c:numCache>
            </c:numRef>
          </c:val>
          <c:smooth val="0"/>
          <c:extLst>
            <c:ext xmlns:c16="http://schemas.microsoft.com/office/drawing/2014/chart" uri="{C3380CC4-5D6E-409C-BE32-E72D297353CC}">
              <c16:uniqueId val="{00000001-F8BA-452F-9A7E-E6B788EBB142}"/>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Analysis!$T$4:$T$28</c:f>
              <c:numCache>
                <c:formatCode>0.0</c:formatCode>
                <c:ptCount val="25"/>
                <c:pt idx="0">
                  <c:v>6.6491587993921124</c:v>
                </c:pt>
                <c:pt idx="1">
                  <c:v>7.8212928784544111</c:v>
                </c:pt>
                <c:pt idx="2">
                  <c:v>6.4305826883964814</c:v>
                </c:pt>
                <c:pt idx="3">
                  <c:v>8.7086610654091601</c:v>
                </c:pt>
                <c:pt idx="4">
                  <c:v>8.4853662633737326</c:v>
                </c:pt>
                <c:pt idx="5">
                  <c:v>8.327263326292579</c:v>
                </c:pt>
                <c:pt idx="6">
                  <c:v>6.5672555541143876</c:v>
                </c:pt>
                <c:pt idx="7">
                  <c:v>9.6128632394269466</c:v>
                </c:pt>
                <c:pt idx="8">
                  <c:v>5.1987103402995514</c:v>
                </c:pt>
                <c:pt idx="9">
                  <c:v>7.8209417121503506</c:v>
                </c:pt>
                <c:pt idx="10">
                  <c:v>6.4314879623701113</c:v>
                </c:pt>
                <c:pt idx="11">
                  <c:v>9.2066735802757762</c:v>
                </c:pt>
                <c:pt idx="12">
                  <c:v>9.2015209771588662</c:v>
                </c:pt>
                <c:pt idx="13">
                  <c:v>7.3936736479144924</c:v>
                </c:pt>
                <c:pt idx="14">
                  <c:v>9.5117138431074508</c:v>
                </c:pt>
                <c:pt idx="15">
                  <c:v>10.558929543352559</c:v>
                </c:pt>
                <c:pt idx="16">
                  <c:v>10.552983137721931</c:v>
                </c:pt>
                <c:pt idx="17">
                  <c:v>8.0929196959751479</c:v>
                </c:pt>
                <c:pt idx="18">
                  <c:v>9.2087486234245954</c:v>
                </c:pt>
                <c:pt idx="19">
                  <c:v>9.0884643847017763</c:v>
                </c:pt>
                <c:pt idx="20">
                  <c:v>11.434442727996249</c:v>
                </c:pt>
                <c:pt idx="21">
                  <c:v>10.162576952605207</c:v>
                </c:pt>
                <c:pt idx="22">
                  <c:v>10.251403697329053</c:v>
                </c:pt>
                <c:pt idx="23">
                  <c:v>11.270027331553484</c:v>
                </c:pt>
                <c:pt idx="24">
                  <c:v>10.744155765209509</c:v>
                </c:pt>
              </c:numCache>
            </c:numRef>
          </c:val>
          <c:smooth val="0"/>
          <c:extLst>
            <c:ext xmlns:c16="http://schemas.microsoft.com/office/drawing/2014/chart" uri="{C3380CC4-5D6E-409C-BE32-E72D297353CC}">
              <c16:uniqueId val="{00000002-F8BA-452F-9A7E-E6B788EBB142}"/>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Analysis!$U$4:$U$28</c:f>
              <c:numCache>
                <c:formatCode>0.0</c:formatCode>
                <c:ptCount val="25"/>
                <c:pt idx="0">
                  <c:v>10.593611012497615</c:v>
                </c:pt>
                <c:pt idx="1">
                  <c:v>10.189474959184665</c:v>
                </c:pt>
                <c:pt idx="2">
                  <c:v>11.359988039176454</c:v>
                </c:pt>
                <c:pt idx="3">
                  <c:v>10.296344064519397</c:v>
                </c:pt>
                <c:pt idx="4">
                  <c:v>11.928318720013692</c:v>
                </c:pt>
                <c:pt idx="5">
                  <c:v>11.659998239591879</c:v>
                </c:pt>
                <c:pt idx="6">
                  <c:v>13.654359594339311</c:v>
                </c:pt>
                <c:pt idx="7">
                  <c:v>10.356579673102448</c:v>
                </c:pt>
                <c:pt idx="8">
                  <c:v>14.158900443905184</c:v>
                </c:pt>
                <c:pt idx="9">
                  <c:v>13.478837758830831</c:v>
                </c:pt>
                <c:pt idx="10">
                  <c:v>12.843250081915434</c:v>
                </c:pt>
                <c:pt idx="11">
                  <c:v>12.03810060354542</c:v>
                </c:pt>
                <c:pt idx="12">
                  <c:v>12.301623033049051</c:v>
                </c:pt>
                <c:pt idx="13">
                  <c:v>14.818491158367081</c:v>
                </c:pt>
                <c:pt idx="14">
                  <c:v>13.519091600001683</c:v>
                </c:pt>
                <c:pt idx="15">
                  <c:v>12.0068157961148</c:v>
                </c:pt>
                <c:pt idx="16">
                  <c:v>12.597893746266989</c:v>
                </c:pt>
                <c:pt idx="17">
                  <c:v>13.542705538766086</c:v>
                </c:pt>
                <c:pt idx="18">
                  <c:v>12.86748877263782</c:v>
                </c:pt>
                <c:pt idx="19">
                  <c:v>14.247834701701377</c:v>
                </c:pt>
                <c:pt idx="20">
                  <c:v>12.371224446542616</c:v>
                </c:pt>
                <c:pt idx="21">
                  <c:v>14.667879485907408</c:v>
                </c:pt>
                <c:pt idx="22">
                  <c:v>15.857819188611149</c:v>
                </c:pt>
                <c:pt idx="23">
                  <c:v>13.941248609379652</c:v>
                </c:pt>
                <c:pt idx="24">
                  <c:v>14.714970934047617</c:v>
                </c:pt>
              </c:numCache>
            </c:numRef>
          </c:val>
          <c:smooth val="0"/>
          <c:extLst>
            <c:ext xmlns:c16="http://schemas.microsoft.com/office/drawing/2014/chart" uri="{C3380CC4-5D6E-409C-BE32-E72D297353CC}">
              <c16:uniqueId val="{00000003-F8BA-452F-9A7E-E6B788EBB142}"/>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Analysis!$V$4:$V$28</c:f>
              <c:numCache>
                <c:formatCode>0.0</c:formatCode>
                <c:ptCount val="25"/>
                <c:pt idx="0">
                  <c:v>3.9444522131055022</c:v>
                </c:pt>
                <c:pt idx="1">
                  <c:v>2.3681820807302536</c:v>
                </c:pt>
                <c:pt idx="2">
                  <c:v>4.9294053507799722</c:v>
                </c:pt>
                <c:pt idx="3">
                  <c:v>1.5876829991102372</c:v>
                </c:pt>
                <c:pt idx="4">
                  <c:v>3.4429524566399596</c:v>
                </c:pt>
                <c:pt idx="5">
                  <c:v>3.3327349132992996</c:v>
                </c:pt>
                <c:pt idx="6">
                  <c:v>7.0871040402249239</c:v>
                </c:pt>
                <c:pt idx="7">
                  <c:v>0.74371643367550178</c:v>
                </c:pt>
                <c:pt idx="8">
                  <c:v>8.9601901036056333</c:v>
                </c:pt>
                <c:pt idx="9">
                  <c:v>5.6578960466804809</c:v>
                </c:pt>
                <c:pt idx="10">
                  <c:v>6.4117621195453225</c:v>
                </c:pt>
                <c:pt idx="11">
                  <c:v>2.8314270232696437</c:v>
                </c:pt>
                <c:pt idx="12">
                  <c:v>3.1001020558901846</c:v>
                </c:pt>
                <c:pt idx="13">
                  <c:v>7.4248175104525886</c:v>
                </c:pt>
                <c:pt idx="14">
                  <c:v>4.0073777568942326</c:v>
                </c:pt>
                <c:pt idx="15">
                  <c:v>1.4478862527622418</c:v>
                </c:pt>
                <c:pt idx="16">
                  <c:v>2.0449106085450577</c:v>
                </c:pt>
                <c:pt idx="17">
                  <c:v>5.4497858427909378</c:v>
                </c:pt>
                <c:pt idx="18">
                  <c:v>3.6587401492132248</c:v>
                </c:pt>
                <c:pt idx="19">
                  <c:v>5.1593703169996008</c:v>
                </c:pt>
                <c:pt idx="20">
                  <c:v>0.93678171854636716</c:v>
                </c:pt>
                <c:pt idx="21">
                  <c:v>4.505302533302201</c:v>
                </c:pt>
                <c:pt idx="22">
                  <c:v>5.606415491282096</c:v>
                </c:pt>
                <c:pt idx="23">
                  <c:v>2.6712212778261684</c:v>
                </c:pt>
                <c:pt idx="24">
                  <c:v>3.9708151688381079</c:v>
                </c:pt>
              </c:numCache>
            </c:numRef>
          </c:val>
          <c:smooth val="0"/>
          <c:extLst>
            <c:ext xmlns:c16="http://schemas.microsoft.com/office/drawing/2014/chart" uri="{C3380CC4-5D6E-409C-BE32-E72D297353CC}">
              <c16:uniqueId val="{00000004-F8BA-452F-9A7E-E6B788EBB142}"/>
            </c:ext>
          </c:extLst>
        </c:ser>
        <c:dLbls>
          <c:showLegendKey val="0"/>
          <c:showVal val="0"/>
          <c:showCatName val="0"/>
          <c:showSerName val="0"/>
          <c:showPercent val="0"/>
          <c:showBubbleSize val="0"/>
        </c:dLbls>
        <c:smooth val="0"/>
        <c:axId val="80528447"/>
        <c:axId val="80543007"/>
      </c:lineChart>
      <c:catAx>
        <c:axId val="805284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3007"/>
        <c:crosses val="autoZero"/>
        <c:auto val="1"/>
        <c:lblAlgn val="ctr"/>
        <c:lblOffset val="100"/>
        <c:noMultiLvlLbl val="0"/>
      </c:catAx>
      <c:valAx>
        <c:axId val="805430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8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3625302-D441-4EE0-BCE7-94C4B12E1C71}">
  <sheetPr codeName="Chart1">
    <tabColor theme="9" tint="0.79998168889431442"/>
  </sheetPr>
  <sheetViews>
    <sheetView tabSelected="1"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795032D6-4055-4145-B5B1-9570379296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5BEB9BFA-FEE2-4363-896A-B4028F1434CC}"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5BEB9BFA-FEE2-4363-896A-B4028F1434CC}" id="{F40405EF-3C45-4486-A218-ADB85A97DC37}">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5BEB9BFA-FEE2-4363-896A-B4028F1434CC}" id="{6F74F25A-791D-4E9D-A209-0B1664FF2463}">
    <text>Defined by the number of titles on the project sheet</text>
  </threadedComment>
  <threadedComment ref="K16" dT="2021-01-27T01:46:53.78" personId="{5BEB9BFA-FEE2-4363-896A-B4028F1434CC}" id="{C57103DE-C949-4FB1-BDF1-9D0E2AFC5C98}">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R4" dT="2021-02-22T14:03:46.65" personId="{5BEB9BFA-FEE2-4363-896A-B4028F1434CC}" id="{6705FFDD-B3F6-4F8C-AF22-10797C34440F}">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5BEB9BFA-FEE2-4363-896A-B4028F1434CC}" id="{9BD5BD34-4DB2-4D76-9A16-0FA5986CF838}">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5BEB9BFA-FEE2-4363-896A-B4028F1434CC}" id="{FDCF23D2-EF98-4584-AE8C-9B736498F65E}">
    <text>Revise or delete column &amp; header.</text>
  </threadedComment>
  <threadedComment ref="D1" dT="2021-01-28T13:53:13.01" personId="{5BEB9BFA-FEE2-4363-896A-B4028F1434CC}" id="{D4932DB7-C961-41D0-9D7F-B728089F644B}">
    <text>Add or subtract columns as you want.</text>
  </threadedComment>
  <threadedComment ref="E1" dT="2021-01-28T13:53:53.73" personId="{5BEB9BFA-FEE2-4363-896A-B4028F1434CC}" id="{AF930BC6-2AB9-4FD9-AFFE-F7D296940D9B}">
    <text>Revise or delete column &amp; header.</text>
  </threadedComment>
  <threadedComment ref="F1" dT="2021-01-28T13:47:47.80" personId="{5BEB9BFA-FEE2-4363-896A-B4028F1434CC}" id="{37C47635-7138-47C2-AA52-D01C7D8935F7}">
    <text>Do not edit the text in this cell</text>
  </threadedComment>
  <threadedComment ref="G1" dT="2021-01-28T13:48:04.75" personId="{5BEB9BFA-FEE2-4363-896A-B4028F1434CC}" id="{AA8A9009-5122-4B92-B8C4-048C859818A5}">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5BEB9BFA-FEE2-4363-896A-B4028F1434CC}" id="{C0D041F1-75F7-4C38-85D1-C56F6A7A9D2C}">
    <text>This column must have consecutive integers starting at 1 (up to the number of criteria).</text>
  </threadedComment>
  <threadedComment ref="G9" dT="2021-02-13T19:38:34.90" personId="{5BEB9BFA-FEE2-4363-896A-B4028F1434CC}" id="{BDEE584B-7D86-4B25-B9F0-1C2A3D0FB52B}">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5BEB9BFA-FEE2-4363-896A-B4028F1434CC}" id="{189EE62F-A793-4D7A-BC16-C90382A6170D}">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5BEB9BFA-FEE2-4363-896A-B4028F1434CC}" id="{2C581B4C-CD82-4CFF-8B6F-64E40C9D75EA}">
    <text>Don't change the text in this cell (used by a Macro)</text>
  </threadedComment>
  <threadedComment ref="A2" dT="2021-03-12T23:01:58.64" personId="{5BEB9BFA-FEE2-4363-896A-B4028F1434CC}" id="{45792607-B9F3-485B-B448-856993A6CF10}">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5BEB9BFA-FEE2-4363-896A-B4028F1434CC}" id="{2CA65E9E-10D3-4972-AEF8-BD67F06C1E56}">
    <text>A zero or empty weight indicates the keyword is not used.</text>
  </threadedComment>
  <threadedComment ref="A3" dT="2021-03-12T23:02:20.20" personId="{5BEB9BFA-FEE2-4363-896A-B4028F1434CC}" id="{0E05C5AF-213A-438D-87F3-D4FD34E8886E}">
    <text>This column must have consecutive integers starting at 1 (up to the number of keywords).</text>
  </threadedComment>
  <threadedComment ref="F4" dT="2021-02-13T19:39:31.93" personId="{5BEB9BFA-FEE2-4363-896A-B4028F1434CC}" id="{60F4A00E-FD5E-4D65-953B-84B9624FCB4D}">
    <text>This table is created by a COPY of the table in columns A:D, followed by a PASTE SPECIAL TRANSPOSE referencing this cell.</text>
  </threadedComment>
  <threadedComment ref="F7" dT="2021-02-01T21:13:16.74" personId="{5BEB9BFA-FEE2-4363-896A-B4028F1434CC}" id="{9BE76DEF-12A5-4623-ABFC-E40F450D37EF}">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5BEB9BFA-FEE2-4363-896A-B4028F1434CC}" id="{366089F4-1A72-4236-B2AA-EFF3BA7A146B}">
    <text>Enter your level of expertise for each project as  L (low), M (medium) or H (high) in each cell.</text>
  </threadedComment>
  <threadedComment ref="Q4" dT="2021-03-10T01:33:20.64" personId="{5BEB9BFA-FEE2-4363-896A-B4028F1434CC}" id="{C3036597-365D-49D9-9928-3C4D09D2DA17}">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5BEB9BFA-FEE2-4363-896A-B4028F1434CC}" id="{13EDB6C2-A6C0-4DAB-8B5E-C530D5C0DBC5}">
    <text>This table should have expertise against the keywords as L, M or H (or blank).</text>
  </threadedComment>
  <threadedComment ref="Q4" dT="2021-03-10T01:35:33.43" personId="{5BEB9BFA-FEE2-4363-896A-B4028F1434CC}" id="{9AE1B40F-1917-4E2A-950B-829FA48BCC91}">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5BEB9BFA-FEE2-4363-896A-B4028F1434CC}" id="{0D9FF792-9B9F-4E01-A2EC-314D09D0F79B}">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5BEB9BFA-FEE2-4363-896A-B4028F1434CC}" id="{257EB6E5-A5B4-4035-A10C-61F7E948823A}">
    <text>Sum of H=3, M=2, L=1 for assignments.</text>
  </threadedComment>
  <threadedComment ref="J2" dT="2021-01-12T23:32:48.11" personId="{5BEB9BFA-FEE2-4363-896A-B4028F1434CC}" id="{33843CE9-1FBA-4E80-A46C-6063825CC34E}">
    <text>Don't change the text in this cell (used by a Macro)</text>
  </threadedComment>
  <threadedComment ref="O2" dT="2021-01-12T23:32:43.02" personId="{5BEB9BFA-FEE2-4363-896A-B4028F1434CC}" id="{464BCB03-DF29-4A56-98BD-25171A5BCE17}">
    <text>Don't change the text in this cell (used by a Macro)</text>
  </threadedComment>
  <threadedComment ref="W2" dT="2021-01-18T16:39:13.49" personId="{5BEB9BFA-FEE2-4363-896A-B4028F1434CC}" id="{5B25FF99-CBDE-449F-91F3-60BD21C3D0F0}">
    <text>Compare this with the value set in the "Competition Parameters" sheet</text>
  </threadedComment>
  <threadedComment ref="W3" dT="2021-01-18T16:39:18.46" personId="{5BEB9BFA-FEE2-4363-896A-B4028F1434CC}" id="{2FD8CB90-1AD0-4D4D-9554-60D10A199ECD}">
    <text>Compare this with the value set in the "Competition Parameters" sheet</text>
  </threadedComment>
  <threadedComment ref="W4" dT="2021-01-18T16:39:05.52" personId="{5BEB9BFA-FEE2-4363-896A-B4028F1434CC}" id="{9C17FFC0-667B-4157-A0D6-EC9032369064}">
    <text>Compare this with the value set in the "Competition Parameters" sheet</text>
  </threadedComment>
  <threadedComment ref="W5" dT="2021-01-18T16:39:25.70" personId="{5BEB9BFA-FEE2-4363-896A-B4028F1434CC}" id="{5D0CCACC-B2F2-4611-B739-0E6438AAD0A0}">
    <text>Compare this with the value set in the "Competition Parameters" sheet</text>
  </threadedComment>
  <threadedComment ref="W6" dT="2021-01-18T16:39:35.99" personId="{5BEB9BFA-FEE2-4363-896A-B4028F1434CC}" id="{455DEC4A-598B-4EAD-A507-F02338CBFF09}">
    <text>Compare this with the value set in the "Competition Parameters" sheet</text>
  </threadedComment>
  <threadedComment ref="W7" dT="2021-01-20T01:30:04.66" personId="{5BEB9BFA-FEE2-4363-896A-B4028F1434CC}" id="{1F08ADB8-403F-4DC0-B95B-415F93F6DCF9}">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45C90-2987-46E0-92BD-4EE3FF278103}">
  <sheetPr codeName="Sheet4">
    <tabColor theme="9" tint="0.79998168889431442"/>
  </sheetPr>
  <dimension ref="A1:M25"/>
  <sheetViews>
    <sheetView zoomScale="115" zoomScaleNormal="115" workbookViewId="0">
      <selection activeCell="B10" sqref="B10"/>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3</v>
      </c>
    </row>
    <row r="3" spans="1:13" x14ac:dyDescent="0.25">
      <c r="A3" s="4"/>
      <c r="B3" s="5" t="s">
        <v>3</v>
      </c>
      <c r="C3" s="6">
        <f>K14</f>
        <v>4</v>
      </c>
    </row>
    <row r="4" spans="1:13" x14ac:dyDescent="0.25">
      <c r="A4" s="4"/>
      <c r="B4" s="7" t="s">
        <v>4</v>
      </c>
      <c r="C4" s="8">
        <f>K18</f>
        <v>10</v>
      </c>
    </row>
    <row r="5" spans="1:13" x14ac:dyDescent="0.25">
      <c r="A5" s="4"/>
      <c r="B5" s="5" t="s">
        <v>5</v>
      </c>
      <c r="C5" s="9">
        <f>Keywords!G2</f>
        <v>11</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22" t="s">
        <v>14</v>
      </c>
      <c r="E10" s="23"/>
      <c r="F10" s="24"/>
    </row>
    <row r="11" spans="1:13" x14ac:dyDescent="0.25">
      <c r="A11" s="4"/>
      <c r="B11" s="25" t="s">
        <v>15</v>
      </c>
      <c r="C11" s="26" t="s">
        <v>16</v>
      </c>
      <c r="D11" s="11" t="s">
        <v>17</v>
      </c>
      <c r="E11" s="27"/>
      <c r="F11" s="26"/>
    </row>
    <row r="12" spans="1:13" ht="15.75" thickBot="1" x14ac:dyDescent="0.3">
      <c r="A12" s="4"/>
      <c r="B12" s="25" t="s">
        <v>18</v>
      </c>
      <c r="C12" s="26" t="s">
        <v>19</v>
      </c>
      <c r="D12" s="11" t="s">
        <v>20</v>
      </c>
      <c r="E12" s="27"/>
      <c r="F12" s="26"/>
      <c r="H12" s="28" t="s">
        <v>21</v>
      </c>
      <c r="I12" s="28"/>
      <c r="J12" s="28"/>
      <c r="K12" s="28"/>
    </row>
    <row r="13" spans="1:13" x14ac:dyDescent="0.25">
      <c r="A13" s="4"/>
      <c r="B13" s="25" t="s">
        <v>22</v>
      </c>
      <c r="C13" s="26" t="s">
        <v>23</v>
      </c>
      <c r="D13" s="11" t="s">
        <v>20</v>
      </c>
      <c r="E13" s="27"/>
      <c r="F13" s="26"/>
      <c r="H13" s="29"/>
      <c r="I13" s="30"/>
      <c r="J13" s="30" t="s">
        <v>24</v>
      </c>
      <c r="K13" s="31">
        <f>Projects!L1</f>
        <v>25</v>
      </c>
      <c r="L13" s="32" t="s">
        <v>25</v>
      </c>
    </row>
    <row r="14" spans="1:13" x14ac:dyDescent="0.25">
      <c r="A14" s="4"/>
      <c r="B14" s="25" t="s">
        <v>26</v>
      </c>
      <c r="C14" s="26" t="s">
        <v>27</v>
      </c>
      <c r="D14" s="11" t="s">
        <v>20</v>
      </c>
      <c r="E14" s="27"/>
      <c r="F14" s="26"/>
      <c r="H14" s="33"/>
      <c r="I14" s="34"/>
      <c r="J14" s="34" t="s">
        <v>28</v>
      </c>
      <c r="K14" s="16">
        <v>4</v>
      </c>
      <c r="L14" s="35"/>
    </row>
    <row r="15" spans="1:13" x14ac:dyDescent="0.25">
      <c r="A15" s="4"/>
      <c r="B15" s="25" t="s">
        <v>29</v>
      </c>
      <c r="C15" s="26" t="s">
        <v>30</v>
      </c>
      <c r="D15" s="11" t="s">
        <v>20</v>
      </c>
      <c r="E15" s="27"/>
      <c r="F15" s="26"/>
      <c r="H15" s="33"/>
      <c r="I15" s="34"/>
      <c r="J15" s="34" t="s">
        <v>31</v>
      </c>
      <c r="K15" s="16">
        <v>4</v>
      </c>
      <c r="L15" s="35"/>
      <c r="M15" s="36" t="str">
        <f>IF(K15&gt;C3,"TOO MANY,MUST BE &lt; "&amp;C3,"")</f>
        <v/>
      </c>
    </row>
    <row r="16" spans="1:13" ht="15.75" thickBot="1" x14ac:dyDescent="0.3">
      <c r="A16" s="4"/>
      <c r="B16" s="25" t="s">
        <v>32</v>
      </c>
      <c r="C16" s="11" t="s">
        <v>33</v>
      </c>
      <c r="D16" s="37" t="s">
        <v>20</v>
      </c>
      <c r="E16" s="27"/>
      <c r="F16" s="26"/>
      <c r="H16" s="38"/>
      <c r="I16" s="39"/>
      <c r="J16" s="39" t="s">
        <v>34</v>
      </c>
      <c r="K16" s="40">
        <f>Markers!G1</f>
        <v>10</v>
      </c>
      <c r="L16" s="41"/>
    </row>
    <row r="17" spans="1:12" x14ac:dyDescent="0.25">
      <c r="A17" s="4"/>
      <c r="B17" s="25" t="s">
        <v>35</v>
      </c>
      <c r="C17" s="11" t="s">
        <v>36</v>
      </c>
      <c r="D17" s="37" t="s">
        <v>20</v>
      </c>
      <c r="E17" s="27"/>
      <c r="F17" s="26"/>
      <c r="H17" s="29"/>
      <c r="I17" s="30"/>
      <c r="J17" s="29" t="s">
        <v>37</v>
      </c>
      <c r="K17" s="31">
        <f>K14*K13</f>
        <v>100</v>
      </c>
      <c r="L17" s="42" t="s">
        <v>38</v>
      </c>
    </row>
    <row r="18" spans="1:12" x14ac:dyDescent="0.25">
      <c r="A18" s="4"/>
      <c r="B18" s="43" t="s">
        <v>39</v>
      </c>
      <c r="C18" s="44" t="b">
        <v>1</v>
      </c>
      <c r="D18" s="44" t="s">
        <v>40</v>
      </c>
      <c r="E18" s="19"/>
      <c r="F18" s="45"/>
      <c r="H18" s="33"/>
      <c r="I18" s="34"/>
      <c r="J18" s="33" t="s">
        <v>41</v>
      </c>
      <c r="K18" s="46">
        <v>10</v>
      </c>
      <c r="L18" s="47"/>
    </row>
    <row r="19" spans="1:12" ht="15.75" thickBot="1" x14ac:dyDescent="0.3">
      <c r="A19" s="4"/>
      <c r="B19" s="25" t="s">
        <v>42</v>
      </c>
      <c r="C19" s="11" t="b">
        <v>0</v>
      </c>
      <c r="D19" s="11" t="s">
        <v>40</v>
      </c>
      <c r="E19" s="27"/>
      <c r="F19" s="26"/>
      <c r="H19" s="38"/>
      <c r="I19" s="39"/>
      <c r="J19" s="38" t="s">
        <v>43</v>
      </c>
      <c r="K19" s="48">
        <f>IF(K16&gt;0,ROUND(K13/K16,0),0)</f>
        <v>3</v>
      </c>
      <c r="L19" s="49"/>
    </row>
    <row r="20" spans="1:12" x14ac:dyDescent="0.25">
      <c r="B20" s="5" t="s">
        <v>44</v>
      </c>
      <c r="C20" s="10" t="b">
        <v>1</v>
      </c>
      <c r="D20" s="37" t="s">
        <v>45</v>
      </c>
      <c r="E20" s="27"/>
      <c r="F20" s="26"/>
    </row>
    <row r="21" spans="1:12" x14ac:dyDescent="0.25">
      <c r="B21" s="25" t="s">
        <v>46</v>
      </c>
      <c r="C21" s="11" t="b">
        <v>1</v>
      </c>
      <c r="D21" s="37" t="s">
        <v>47</v>
      </c>
      <c r="E21" s="27"/>
      <c r="F21" s="26"/>
    </row>
    <row r="22" spans="1:12" x14ac:dyDescent="0.25">
      <c r="B22" s="25" t="s">
        <v>48</v>
      </c>
      <c r="C22" s="16" t="s">
        <v>49</v>
      </c>
      <c r="D22" s="50" t="s">
        <v>50</v>
      </c>
      <c r="E22" s="51"/>
      <c r="F22" s="52"/>
    </row>
    <row r="23" spans="1:12" x14ac:dyDescent="0.25">
      <c r="B23" s="25" t="s">
        <v>51</v>
      </c>
      <c r="C23" s="16" t="b">
        <v>1</v>
      </c>
      <c r="D23" s="4"/>
      <c r="E23" s="4"/>
      <c r="F23" s="4"/>
    </row>
    <row r="24" spans="1:12" x14ac:dyDescent="0.25">
      <c r="B24" s="53" t="s">
        <v>52</v>
      </c>
      <c r="C24" s="53"/>
    </row>
    <row r="25" spans="1:12" x14ac:dyDescent="0.25">
      <c r="B25" s="54" t="s">
        <v>53</v>
      </c>
      <c r="C25" s="55"/>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21E3-D443-40F2-9214-D2CAE818B742}">
  <sheetPr codeName="Sheet38">
    <tabColor theme="9" tint="0.79998168889431442"/>
  </sheetPr>
  <dimension ref="A1:Y27"/>
  <sheetViews>
    <sheetView zoomScaleNormal="100" workbookViewId="0">
      <pane ySplit="2" topLeftCell="A3" activePane="bottomLeft" state="frozen"/>
      <selection activeCell="B10" sqref="B10"/>
      <selection pane="bottomLeft" activeCell="J1" sqref="J1:M1048576"/>
    </sheetView>
  </sheetViews>
  <sheetFormatPr defaultRowHeight="15" x14ac:dyDescent="0.25"/>
  <cols>
    <col min="2" max="2" width="39" customWidth="1"/>
    <col min="3" max="3" width="22"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72"/>
      <c r="B1" s="72"/>
      <c r="C1" s="200"/>
      <c r="D1" s="201"/>
      <c r="E1" s="202"/>
      <c r="F1" s="203" t="s">
        <v>257</v>
      </c>
      <c r="G1" s="203"/>
      <c r="H1" s="203"/>
      <c r="I1" s="203"/>
      <c r="J1" s="204" t="s">
        <v>258</v>
      </c>
      <c r="K1" s="204"/>
      <c r="L1" s="204"/>
      <c r="M1" s="204"/>
      <c r="O1" s="205"/>
      <c r="P1" s="206" t="s">
        <v>259</v>
      </c>
      <c r="Q1" s="206"/>
      <c r="R1" s="206"/>
      <c r="S1" s="206"/>
      <c r="T1" s="207"/>
      <c r="V1" s="208" t="s">
        <v>260</v>
      </c>
      <c r="W1" s="208" t="s">
        <v>261</v>
      </c>
      <c r="X1" s="208" t="s">
        <v>262</v>
      </c>
      <c r="Y1" s="55"/>
    </row>
    <row r="2" spans="1:25" ht="126" x14ac:dyDescent="0.25">
      <c r="A2" s="209" t="str">
        <f>Projects!A1</f>
        <v>Project #</v>
      </c>
      <c r="B2" s="104" t="str">
        <f>Projects!B2</f>
        <v>Project Name</v>
      </c>
      <c r="C2" s="210" t="str">
        <f>Projects!D2</f>
        <v>Organization</v>
      </c>
      <c r="D2" s="211" t="s">
        <v>263</v>
      </c>
      <c r="E2" s="201" t="s">
        <v>264</v>
      </c>
      <c r="F2" s="112">
        <v>1</v>
      </c>
      <c r="G2" s="112">
        <v>2</v>
      </c>
      <c r="H2" s="112">
        <v>3</v>
      </c>
      <c r="I2" s="112">
        <v>4</v>
      </c>
      <c r="J2" s="112">
        <v>1</v>
      </c>
      <c r="K2" s="112">
        <v>2</v>
      </c>
      <c r="L2" s="112">
        <v>3</v>
      </c>
      <c r="M2" s="112">
        <v>4</v>
      </c>
      <c r="O2" s="212" t="s">
        <v>181</v>
      </c>
      <c r="P2" s="61" t="s">
        <v>182</v>
      </c>
      <c r="Q2" s="213" t="s">
        <v>265</v>
      </c>
      <c r="R2" s="62" t="s">
        <v>266</v>
      </c>
      <c r="S2" s="214" t="s">
        <v>267</v>
      </c>
      <c r="T2" s="215" t="s">
        <v>268</v>
      </c>
      <c r="V2" s="216" t="s">
        <v>24</v>
      </c>
      <c r="W2" s="217">
        <f>COUNTIF(Projects!B:B,"&lt;&gt;"&amp;"")-2</f>
        <v>25</v>
      </c>
      <c r="X2" s="218"/>
      <c r="Y2" s="219" t="s">
        <v>25</v>
      </c>
    </row>
    <row r="3" spans="1:25" x14ac:dyDescent="0.25">
      <c r="A3" s="64">
        <f>Projects!A3</f>
        <v>1</v>
      </c>
      <c r="B3" s="72" t="str">
        <f>Projects!B3</f>
        <v>Project 1</v>
      </c>
      <c r="C3" s="6" t="str">
        <f>Projects!D3</f>
        <v>Carleton University</v>
      </c>
      <c r="D3" s="6">
        <f>Projects!G3</f>
        <v>1</v>
      </c>
      <c r="E3" s="72" t="str">
        <f>IF(AND(D3&gt;0,OR(D3=F3,D3=G3,D3=H3,D3=I3)),"XX","")</f>
        <v/>
      </c>
      <c r="F3" s="194">
        <v>5</v>
      </c>
      <c r="G3" s="194">
        <v>9</v>
      </c>
      <c r="H3" s="194">
        <v>10</v>
      </c>
      <c r="I3" s="194">
        <v>3</v>
      </c>
      <c r="J3" s="75" t="str">
        <f>IF(ISNA(VLOOKUP(F3,$O:$P,2,FALSE)),"",VLOOKUP(F3,$O:$P,2,FALSE))</f>
        <v>Era Vandervoort</v>
      </c>
      <c r="K3" s="75" t="str">
        <f>IF(ISNA(VLOOKUP(G3,$O:$P,2,FALSE)),"",VLOOKUP(G3,$O:$P,2,FALSE))</f>
        <v>Gerard Cutright</v>
      </c>
      <c r="L3" s="75" t="str">
        <f>IF(ISNA(VLOOKUP(H3,$O:$P,2,FALSE)),"",VLOOKUP(H3,$O:$P,2,FALSE))</f>
        <v>Rueben Dagenhart</v>
      </c>
      <c r="M3" s="75" t="str">
        <f>IF(ISNA(VLOOKUP(I3,$O:$P,2,FALSE)),"",VLOOKUP(I3,$O:$P,2,FALSE))</f>
        <v>Yetta Cisneros</v>
      </c>
      <c r="O3" s="193">
        <f>IF(LEN(Markers!A2)&gt;0,Markers!A2,"")</f>
        <v>1</v>
      </c>
      <c r="P3" s="64" t="str">
        <f>IF(ISNA(VLOOKUP(O3,Markers!$A:$B,2,FALSE)),"",VLOOKUP(O3,Markers!$A:$B,2,FALSE))</f>
        <v>Kristyn Sergio</v>
      </c>
      <c r="Q3" s="6">
        <f>IF(LEN(O3)&gt;0,COUNTIF($F$3:$I$27,O3),"")</f>
        <v>10</v>
      </c>
      <c r="R3" s="64" t="str">
        <f>IF(Q3=0,"NONE",IF(Q3&gt;W$5,"Too Many",IF(Q3&lt;W$5,"Add","")))</f>
        <v/>
      </c>
      <c r="S3" s="64">
        <f>IF(LEN(O3)&gt;0,COUNTIF($F$3:$F$27,O3),"")</f>
        <v>4</v>
      </c>
      <c r="T3" s="220" t="str">
        <f>IF(S3=0,"NONE",IF(S3&gt;W$6,"Too Many",IF(S3&lt;W$6,"Add","")))</f>
        <v>Too Many</v>
      </c>
      <c r="V3" s="221" t="s">
        <v>34</v>
      </c>
      <c r="W3" s="77">
        <f>COUNTIF(Markers!B:B,"&lt;&gt;"&amp;"")-1</f>
        <v>10</v>
      </c>
      <c r="X3" s="72"/>
      <c r="Y3" s="222"/>
    </row>
    <row r="4" spans="1:25" x14ac:dyDescent="0.25">
      <c r="A4" s="64">
        <f>Projects!A4</f>
        <v>2</v>
      </c>
      <c r="B4" s="72" t="str">
        <f>Projects!B4</f>
        <v>Project 2</v>
      </c>
      <c r="C4" s="6" t="str">
        <f>Projects!D4</f>
        <v>Cégep de Chicoutimi</v>
      </c>
      <c r="D4" s="6">
        <f>Projects!G4</f>
        <v>2</v>
      </c>
      <c r="E4" s="72" t="str">
        <f t="shared" ref="E4:E27" si="0">IF(AND(D4&gt;0,OR(D4=F4,D4=G4,D4=H4,D4=I4)),"XX","")</f>
        <v/>
      </c>
      <c r="F4" s="194">
        <v>1</v>
      </c>
      <c r="G4" s="194">
        <v>5</v>
      </c>
      <c r="H4" s="194">
        <v>10</v>
      </c>
      <c r="I4" s="194">
        <v>4</v>
      </c>
      <c r="J4" s="75" t="str">
        <f>IF(ISNA(VLOOKUP(F4,$O:$P,2,FALSE)),"",VLOOKUP(F4,$O:$P,2,FALSE))</f>
        <v>Kristyn Sergio</v>
      </c>
      <c r="K4" s="75" t="str">
        <f>IF(ISNA(VLOOKUP(G4,$O:$P,2,FALSE)),"",VLOOKUP(G4,$O:$P,2,FALSE))</f>
        <v>Era Vandervoort</v>
      </c>
      <c r="L4" s="75" t="str">
        <f>IF(ISNA(VLOOKUP(H4,$O:$P,2,FALSE)),"",VLOOKUP(H4,$O:$P,2,FALSE))</f>
        <v>Rueben Dagenhart</v>
      </c>
      <c r="M4" s="75" t="str">
        <f>IF(ISNA(VLOOKUP(I4,$O:$P,2,FALSE)),"",VLOOKUP(I4,$O:$P,2,FALSE))</f>
        <v>Henriette Wilford</v>
      </c>
      <c r="O4" s="193">
        <f>IF(LEN(Markers!A3)&gt;0,Markers!A3,"")</f>
        <v>2</v>
      </c>
      <c r="P4" s="64" t="str">
        <f>IF(ISNA(VLOOKUP(O4,Markers!$A:$B,2,FALSE)),"",VLOOKUP(O4,Markers!$A:$B,2,FALSE))</f>
        <v>Chu Vanallen</v>
      </c>
      <c r="Q4" s="6">
        <f t="shared" ref="Q4:Q12" si="1">IF(LEN(O4)&gt;0,COUNTIF($F$3:$I$27,O4),"")</f>
        <v>10</v>
      </c>
      <c r="R4" s="64" t="str">
        <f t="shared" ref="R4:R12" si="2">IF(Q4=0,"NONE",IF(Q4&gt;W$5,"Too Many",IF(Q4&lt;W$5,"Add","")))</f>
        <v/>
      </c>
      <c r="S4" s="64">
        <f t="shared" ref="S4:S12" si="3">IF(LEN(O4)&gt;0,COUNTIF($F$3:$F$27,O4),"")</f>
        <v>3</v>
      </c>
      <c r="T4" s="220" t="str">
        <f t="shared" ref="T4:T12" si="4">IF(S4=0,"NONE",IF(S4&gt;W$6,"Too Many",IF(S4&lt;W$6,"Add","")))</f>
        <v/>
      </c>
      <c r="V4" s="221" t="s">
        <v>28</v>
      </c>
      <c r="W4" s="77">
        <f>'Competition Parameters'!C3</f>
        <v>4</v>
      </c>
      <c r="X4" s="72" t="str">
        <f>IF(W4&gt;'Competition Parameters'!C3,"above limit in Competition Parameters sheet","")</f>
        <v/>
      </c>
      <c r="Y4" s="223"/>
    </row>
    <row r="5" spans="1:25" ht="15" customHeight="1" x14ac:dyDescent="0.25">
      <c r="A5" s="64">
        <f>Projects!A5</f>
        <v>3</v>
      </c>
      <c r="B5" s="72" t="str">
        <f>Projects!B5</f>
        <v>Project 3</v>
      </c>
      <c r="C5" s="6" t="str">
        <f>Projects!D5</f>
        <v>Cégep de Sainte-Foy</v>
      </c>
      <c r="D5" s="6">
        <f>Projects!G5</f>
        <v>3</v>
      </c>
      <c r="E5" s="72" t="str">
        <f t="shared" si="0"/>
        <v/>
      </c>
      <c r="F5" s="194">
        <v>7</v>
      </c>
      <c r="G5" s="194">
        <v>10</v>
      </c>
      <c r="H5" s="194">
        <v>1</v>
      </c>
      <c r="I5" s="194">
        <v>5</v>
      </c>
      <c r="J5" s="75" t="str">
        <f>IF(ISNA(VLOOKUP(F5,$O:$P,2,FALSE)),"",VLOOKUP(F5,$O:$P,2,FALSE))</f>
        <v>Aldo Range</v>
      </c>
      <c r="K5" s="75" t="str">
        <f>IF(ISNA(VLOOKUP(G5,$O:$P,2,FALSE)),"",VLOOKUP(G5,$O:$P,2,FALSE))</f>
        <v>Rueben Dagenhart</v>
      </c>
      <c r="L5" s="75" t="str">
        <f>IF(ISNA(VLOOKUP(H5,$O:$P,2,FALSE)),"",VLOOKUP(H5,$O:$P,2,FALSE))</f>
        <v>Kristyn Sergio</v>
      </c>
      <c r="M5" s="75" t="str">
        <f>IF(ISNA(VLOOKUP(I5,$O:$P,2,FALSE)),"",VLOOKUP(I5,$O:$P,2,FALSE))</f>
        <v>Era Vandervoort</v>
      </c>
      <c r="O5" s="193">
        <f>IF(LEN(Markers!A4)&gt;0,Markers!A4,"")</f>
        <v>3</v>
      </c>
      <c r="P5" s="64" t="str">
        <f>IF(ISNA(VLOOKUP(O5,Markers!$A:$B,2,FALSE)),"",VLOOKUP(O5,Markers!$A:$B,2,FALSE))</f>
        <v>Yetta Cisneros</v>
      </c>
      <c r="Q5" s="6">
        <f t="shared" si="1"/>
        <v>7</v>
      </c>
      <c r="R5" s="64" t="str">
        <f t="shared" si="2"/>
        <v>Add</v>
      </c>
      <c r="S5" s="64">
        <f t="shared" si="3"/>
        <v>1</v>
      </c>
      <c r="T5" s="220" t="str">
        <f t="shared" si="4"/>
        <v>Add</v>
      </c>
      <c r="V5" s="221" t="s">
        <v>41</v>
      </c>
      <c r="W5" s="77">
        <f>ROUND(W2*W4/W3,0)</f>
        <v>10</v>
      </c>
      <c r="X5" s="72" t="str">
        <f>IF(W5&gt;'Competition Parameters'!C4,"above limit in Competition Parameters sheet","")</f>
        <v/>
      </c>
      <c r="Y5" s="224"/>
    </row>
    <row r="6" spans="1:25" x14ac:dyDescent="0.25">
      <c r="A6" s="64">
        <f>Projects!A6</f>
        <v>4</v>
      </c>
      <c r="B6" s="72" t="str">
        <f>Projects!B6</f>
        <v>Project 4</v>
      </c>
      <c r="C6" s="6" t="str">
        <f>Projects!D6</f>
        <v>Cégep de Shawinigan</v>
      </c>
      <c r="D6" s="6">
        <f>Projects!G6</f>
        <v>4</v>
      </c>
      <c r="E6" s="72" t="str">
        <f t="shared" si="0"/>
        <v/>
      </c>
      <c r="F6" s="194">
        <v>10</v>
      </c>
      <c r="G6" s="194">
        <v>7</v>
      </c>
      <c r="H6" s="194">
        <v>9</v>
      </c>
      <c r="I6" s="194">
        <v>6</v>
      </c>
      <c r="J6" s="75" t="str">
        <f>IF(ISNA(VLOOKUP(F6,$O:$P,2,FALSE)),"",VLOOKUP(F6,$O:$P,2,FALSE))</f>
        <v>Rueben Dagenhart</v>
      </c>
      <c r="K6" s="75" t="str">
        <f>IF(ISNA(VLOOKUP(G6,$O:$P,2,FALSE)),"",VLOOKUP(G6,$O:$P,2,FALSE))</f>
        <v>Aldo Range</v>
      </c>
      <c r="L6" s="75" t="str">
        <f>IF(ISNA(VLOOKUP(H6,$O:$P,2,FALSE)),"",VLOOKUP(H6,$O:$P,2,FALSE))</f>
        <v>Gerard Cutright</v>
      </c>
      <c r="M6" s="75" t="str">
        <f>IF(ISNA(VLOOKUP(I6,$O:$P,2,FALSE)),"",VLOOKUP(I6,$O:$P,2,FALSE))</f>
        <v>Elmer Seawood</v>
      </c>
      <c r="O6" s="193">
        <f>IF(LEN(Markers!A5)&gt;0,Markers!A5,"")</f>
        <v>4</v>
      </c>
      <c r="P6" s="64" t="str">
        <f>IF(ISNA(VLOOKUP(O6,Markers!$A:$B,2,FALSE)),"",VLOOKUP(O6,Markers!$A:$B,2,FALSE))</f>
        <v>Henriette Wilford</v>
      </c>
      <c r="Q6" s="6">
        <f t="shared" si="1"/>
        <v>10</v>
      </c>
      <c r="R6" s="64" t="str">
        <f t="shared" si="2"/>
        <v/>
      </c>
      <c r="S6" s="64">
        <f t="shared" si="3"/>
        <v>2</v>
      </c>
      <c r="T6" s="220" t="str">
        <f t="shared" si="4"/>
        <v>Add</v>
      </c>
      <c r="V6" s="221" t="s">
        <v>43</v>
      </c>
      <c r="W6" s="77">
        <f>INT(W2/W3+1)</f>
        <v>3</v>
      </c>
      <c r="X6" s="72"/>
      <c r="Y6" s="225" t="s">
        <v>38</v>
      </c>
    </row>
    <row r="7" spans="1:25" ht="15.75" thickBot="1" x14ac:dyDescent="0.3">
      <c r="A7" s="64">
        <f>Projects!A7</f>
        <v>5</v>
      </c>
      <c r="B7" s="72" t="str">
        <f>Projects!B7</f>
        <v>Project 5</v>
      </c>
      <c r="C7" s="6" t="str">
        <f>Projects!D7</f>
        <v>Cégep de Sherbrooke</v>
      </c>
      <c r="D7" s="6">
        <f>Projects!G7</f>
        <v>5</v>
      </c>
      <c r="E7" s="72" t="str">
        <f t="shared" si="0"/>
        <v/>
      </c>
      <c r="F7" s="194">
        <v>10</v>
      </c>
      <c r="G7" s="194">
        <v>4</v>
      </c>
      <c r="H7" s="194">
        <v>3</v>
      </c>
      <c r="I7" s="194">
        <v>6</v>
      </c>
      <c r="J7" s="75" t="str">
        <f>IF(ISNA(VLOOKUP(F7,$O:$P,2,FALSE)),"",VLOOKUP(F7,$O:$P,2,FALSE))</f>
        <v>Rueben Dagenhart</v>
      </c>
      <c r="K7" s="75" t="str">
        <f>IF(ISNA(VLOOKUP(G7,$O:$P,2,FALSE)),"",VLOOKUP(G7,$O:$P,2,FALSE))</f>
        <v>Henriette Wilford</v>
      </c>
      <c r="L7" s="75" t="str">
        <f>IF(ISNA(VLOOKUP(H7,$O:$P,2,FALSE)),"",VLOOKUP(H7,$O:$P,2,FALSE))</f>
        <v>Yetta Cisneros</v>
      </c>
      <c r="M7" s="75" t="str">
        <f>IF(ISNA(VLOOKUP(I7,$O:$P,2,FALSE)),"",VLOOKUP(I7,$O:$P,2,FALSE))</f>
        <v>Elmer Seawood</v>
      </c>
      <c r="O7" s="193">
        <f>IF(LEN(Markers!A6)&gt;0,Markers!A6,"")</f>
        <v>5</v>
      </c>
      <c r="P7" s="64" t="str">
        <f>IF(ISNA(VLOOKUP(O7,Markers!$A:$B,2,FALSE)),"",VLOOKUP(O7,Markers!$A:$B,2,FALSE))</f>
        <v>Era Vandervoort</v>
      </c>
      <c r="Q7" s="6">
        <f t="shared" si="1"/>
        <v>10</v>
      </c>
      <c r="R7" s="64" t="str">
        <f t="shared" si="2"/>
        <v/>
      </c>
      <c r="S7" s="64">
        <f t="shared" si="3"/>
        <v>3</v>
      </c>
      <c r="T7" s="220" t="str">
        <f t="shared" si="4"/>
        <v/>
      </c>
      <c r="V7" s="226" t="s">
        <v>269</v>
      </c>
      <c r="W7" s="227">
        <f>COUNTIF(F:I,"&lt;&gt;"&amp;"")-W4-1</f>
        <v>94</v>
      </c>
      <c r="X7" s="228"/>
      <c r="Y7" s="229"/>
    </row>
    <row r="8" spans="1:25" x14ac:dyDescent="0.25">
      <c r="A8" s="64">
        <f>Projects!A8</f>
        <v>6</v>
      </c>
      <c r="B8" s="72" t="str">
        <f>Projects!B8</f>
        <v>Project 6</v>
      </c>
      <c r="C8" s="6" t="str">
        <f>Projects!D8</f>
        <v>Collège de Rosemont</v>
      </c>
      <c r="D8" s="6">
        <f>Projects!G8</f>
        <v>6</v>
      </c>
      <c r="E8" s="72" t="str">
        <f t="shared" si="0"/>
        <v/>
      </c>
      <c r="F8" s="194">
        <v>9</v>
      </c>
      <c r="G8" s="194">
        <v>4</v>
      </c>
      <c r="H8" s="194">
        <v>2</v>
      </c>
      <c r="I8" s="194">
        <v>8</v>
      </c>
      <c r="J8" s="75" t="str">
        <f>IF(ISNA(VLOOKUP(F8,$O:$P,2,FALSE)),"",VLOOKUP(F8,$O:$P,2,FALSE))</f>
        <v>Gerard Cutright</v>
      </c>
      <c r="K8" s="75" t="str">
        <f>IF(ISNA(VLOOKUP(G8,$O:$P,2,FALSE)),"",VLOOKUP(G8,$O:$P,2,FALSE))</f>
        <v>Henriette Wilford</v>
      </c>
      <c r="L8" s="75" t="str">
        <f>IF(ISNA(VLOOKUP(H8,$O:$P,2,FALSE)),"",VLOOKUP(H8,$O:$P,2,FALSE))</f>
        <v>Chu Vanallen</v>
      </c>
      <c r="M8" s="75" t="str">
        <f>IF(ISNA(VLOOKUP(I8,$O:$P,2,FALSE)),"",VLOOKUP(I8,$O:$P,2,FALSE))</f>
        <v>Dena Demas</v>
      </c>
      <c r="O8" s="193">
        <f>IF(LEN(Markers!A7)&gt;0,Markers!A7,"")</f>
        <v>6</v>
      </c>
      <c r="P8" s="64" t="str">
        <f>IF(ISNA(VLOOKUP(O8,Markers!$A:$B,2,FALSE)),"",VLOOKUP(O8,Markers!$A:$B,2,FALSE))</f>
        <v>Elmer Seawood</v>
      </c>
      <c r="Q8" s="6">
        <f t="shared" si="1"/>
        <v>8</v>
      </c>
      <c r="R8" s="64" t="str">
        <f t="shared" si="2"/>
        <v>Add</v>
      </c>
      <c r="S8" s="64">
        <f t="shared" si="3"/>
        <v>1</v>
      </c>
      <c r="T8" s="220" t="str">
        <f t="shared" si="4"/>
        <v>Add</v>
      </c>
    </row>
    <row r="9" spans="1:25" x14ac:dyDescent="0.25">
      <c r="A9" s="64">
        <f>Projects!A9</f>
        <v>7</v>
      </c>
      <c r="B9" s="72" t="str">
        <f>Projects!B9</f>
        <v>Project 7</v>
      </c>
      <c r="C9" s="6" t="str">
        <f>Projects!D9</f>
        <v>Collège Montmorency</v>
      </c>
      <c r="D9" s="6">
        <f>Projects!G9</f>
        <v>0</v>
      </c>
      <c r="E9" s="72" t="str">
        <f t="shared" si="0"/>
        <v/>
      </c>
      <c r="F9" s="194">
        <v>5</v>
      </c>
      <c r="G9" s="194">
        <v>6</v>
      </c>
      <c r="H9" s="194">
        <v>2</v>
      </c>
      <c r="I9" s="194">
        <v>7</v>
      </c>
      <c r="J9" s="75" t="str">
        <f>IF(ISNA(VLOOKUP(F9,$O:$P,2,FALSE)),"",VLOOKUP(F9,$O:$P,2,FALSE))</f>
        <v>Era Vandervoort</v>
      </c>
      <c r="K9" s="75" t="str">
        <f>IF(ISNA(VLOOKUP(G9,$O:$P,2,FALSE)),"",VLOOKUP(G9,$O:$P,2,FALSE))</f>
        <v>Elmer Seawood</v>
      </c>
      <c r="L9" s="75" t="str">
        <f>IF(ISNA(VLOOKUP(H9,$O:$P,2,FALSE)),"",VLOOKUP(H9,$O:$P,2,FALSE))</f>
        <v>Chu Vanallen</v>
      </c>
      <c r="M9" s="75" t="str">
        <f>IF(ISNA(VLOOKUP(I9,$O:$P,2,FALSE)),"",VLOOKUP(I9,$O:$P,2,FALSE))</f>
        <v>Aldo Range</v>
      </c>
      <c r="O9" s="193">
        <f>IF(LEN(Markers!A8)&gt;0,Markers!A8,"")</f>
        <v>7</v>
      </c>
      <c r="P9" s="64" t="str">
        <f>IF(ISNA(VLOOKUP(O9,Markers!$A:$B,2,FALSE)),"",VLOOKUP(O9,Markers!$A:$B,2,FALSE))</f>
        <v>Aldo Range</v>
      </c>
      <c r="Q9" s="6">
        <f t="shared" si="1"/>
        <v>9</v>
      </c>
      <c r="R9" s="64" t="str">
        <f t="shared" si="2"/>
        <v>Add</v>
      </c>
      <c r="S9" s="64">
        <f t="shared" si="3"/>
        <v>2</v>
      </c>
      <c r="T9" s="220" t="str">
        <f t="shared" si="4"/>
        <v>Add</v>
      </c>
    </row>
    <row r="10" spans="1:25" x14ac:dyDescent="0.25">
      <c r="A10" s="64">
        <f>Projects!A10</f>
        <v>8</v>
      </c>
      <c r="B10" s="72" t="str">
        <f>Projects!B10</f>
        <v>Project 8</v>
      </c>
      <c r="C10" s="6" t="str">
        <f>Projects!D10</f>
        <v>John Abbott College</v>
      </c>
      <c r="D10" s="6">
        <f>Projects!G10</f>
        <v>8</v>
      </c>
      <c r="E10" s="72" t="str">
        <f t="shared" si="0"/>
        <v/>
      </c>
      <c r="F10" s="194">
        <v>6</v>
      </c>
      <c r="G10" s="194">
        <v>7</v>
      </c>
      <c r="H10" s="194">
        <v>4</v>
      </c>
      <c r="I10" s="194">
        <v>10</v>
      </c>
      <c r="J10" s="75" t="str">
        <f>IF(ISNA(VLOOKUP(F10,$O:$P,2,FALSE)),"",VLOOKUP(F10,$O:$P,2,FALSE))</f>
        <v>Elmer Seawood</v>
      </c>
      <c r="K10" s="75" t="str">
        <f>IF(ISNA(VLOOKUP(G10,$O:$P,2,FALSE)),"",VLOOKUP(G10,$O:$P,2,FALSE))</f>
        <v>Aldo Range</v>
      </c>
      <c r="L10" s="75" t="str">
        <f>IF(ISNA(VLOOKUP(H10,$O:$P,2,FALSE)),"",VLOOKUP(H10,$O:$P,2,FALSE))</f>
        <v>Henriette Wilford</v>
      </c>
      <c r="M10" s="75" t="str">
        <f>IF(ISNA(VLOOKUP(I10,$O:$P,2,FALSE)),"",VLOOKUP(I10,$O:$P,2,FALSE))</f>
        <v>Rueben Dagenhart</v>
      </c>
      <c r="O10" s="193">
        <f>IF(LEN(Markers!A9)&gt;0,Markers!A9,"")</f>
        <v>8</v>
      </c>
      <c r="P10" s="64" t="str">
        <f>IF(ISNA(VLOOKUP(O10,Markers!$A:$B,2,FALSE)),"",VLOOKUP(O10,Markers!$A:$B,2,FALSE))</f>
        <v>Dena Demas</v>
      </c>
      <c r="Q10" s="6">
        <f t="shared" si="1"/>
        <v>10</v>
      </c>
      <c r="R10" s="64" t="str">
        <f t="shared" si="2"/>
        <v/>
      </c>
      <c r="S10" s="64">
        <f t="shared" si="3"/>
        <v>2</v>
      </c>
      <c r="T10" s="220" t="str">
        <f t="shared" si="4"/>
        <v>Add</v>
      </c>
    </row>
    <row r="11" spans="1:25" x14ac:dyDescent="0.25">
      <c r="A11" s="64">
        <f>Projects!A11</f>
        <v>9</v>
      </c>
      <c r="B11" s="72" t="str">
        <f>Projects!B11</f>
        <v>Project 9</v>
      </c>
      <c r="C11" s="6" t="str">
        <f>Projects!D11</f>
        <v>Lakehead University</v>
      </c>
      <c r="D11" s="6">
        <f>Projects!G11</f>
        <v>9</v>
      </c>
      <c r="E11" s="72" t="str">
        <f t="shared" si="0"/>
        <v/>
      </c>
      <c r="F11" s="194">
        <v>10</v>
      </c>
      <c r="G11" s="194">
        <v>1</v>
      </c>
      <c r="H11" s="194">
        <v>7</v>
      </c>
      <c r="I11" s="194"/>
      <c r="J11" s="75" t="str">
        <f>IF(ISNA(VLOOKUP(F11,$O:$P,2,FALSE)),"",VLOOKUP(F11,$O:$P,2,FALSE))</f>
        <v>Rueben Dagenhart</v>
      </c>
      <c r="K11" s="75" t="str">
        <f>IF(ISNA(VLOOKUP(G11,$O:$P,2,FALSE)),"",VLOOKUP(G11,$O:$P,2,FALSE))</f>
        <v>Kristyn Sergio</v>
      </c>
      <c r="L11" s="75" t="str">
        <f>IF(ISNA(VLOOKUP(H11,$O:$P,2,FALSE)),"",VLOOKUP(H11,$O:$P,2,FALSE))</f>
        <v>Aldo Range</v>
      </c>
      <c r="M11" s="75" t="str">
        <f>IF(ISNA(VLOOKUP(I11,$O:$P,2,FALSE)),"",VLOOKUP(I11,$O:$P,2,FALSE))</f>
        <v/>
      </c>
      <c r="O11" s="193">
        <f>IF(LEN(Markers!A10)&gt;0,Markers!A10,"")</f>
        <v>9</v>
      </c>
      <c r="P11" s="64" t="str">
        <f>IF(ISNA(VLOOKUP(O11,Markers!$A:$B,2,FALSE)),"",VLOOKUP(O11,Markers!$A:$B,2,FALSE))</f>
        <v>Gerard Cutright</v>
      </c>
      <c r="Q11" s="6">
        <f t="shared" si="1"/>
        <v>10</v>
      </c>
      <c r="R11" s="64" t="str">
        <f t="shared" si="2"/>
        <v/>
      </c>
      <c r="S11" s="64">
        <f t="shared" si="3"/>
        <v>4</v>
      </c>
      <c r="T11" s="220" t="str">
        <f t="shared" si="4"/>
        <v>Too Many</v>
      </c>
    </row>
    <row r="12" spans="1:25" x14ac:dyDescent="0.25">
      <c r="A12" s="64">
        <f>Projects!A12</f>
        <v>10</v>
      </c>
      <c r="B12" s="72" t="str">
        <f>Projects!B12</f>
        <v>Project 10</v>
      </c>
      <c r="C12" s="6" t="str">
        <f>Projects!D12</f>
        <v>McMaster University</v>
      </c>
      <c r="D12" s="6">
        <f>Projects!G12</f>
        <v>10</v>
      </c>
      <c r="E12" s="72" t="str">
        <f t="shared" si="0"/>
        <v/>
      </c>
      <c r="F12" s="194">
        <v>1</v>
      </c>
      <c r="G12" s="194">
        <v>2</v>
      </c>
      <c r="H12" s="194"/>
      <c r="I12" s="194"/>
      <c r="J12" s="75" t="str">
        <f>IF(ISNA(VLOOKUP(F12,$O:$P,2,FALSE)),"",VLOOKUP(F12,$O:$P,2,FALSE))</f>
        <v>Kristyn Sergio</v>
      </c>
      <c r="K12" s="75" t="str">
        <f>IF(ISNA(VLOOKUP(G12,$O:$P,2,FALSE)),"",VLOOKUP(G12,$O:$P,2,FALSE))</f>
        <v>Chu Vanallen</v>
      </c>
      <c r="L12" s="75" t="str">
        <f>IF(ISNA(VLOOKUP(H12,$O:$P,2,FALSE)),"",VLOOKUP(H12,$O:$P,2,FALSE))</f>
        <v/>
      </c>
      <c r="M12" s="75" t="str">
        <f>IF(ISNA(VLOOKUP(I12,$O:$P,2,FALSE)),"",VLOOKUP(I12,$O:$P,2,FALSE))</f>
        <v/>
      </c>
      <c r="O12" s="193">
        <f>IF(LEN(Markers!A11)&gt;0,Markers!A11,"")</f>
        <v>10</v>
      </c>
      <c r="P12" s="64" t="str">
        <f>IF(ISNA(VLOOKUP(O12,Markers!$A:$B,2,FALSE)),"",VLOOKUP(O12,Markers!$A:$B,2,FALSE))</f>
        <v>Rueben Dagenhart</v>
      </c>
      <c r="Q12" s="6">
        <f t="shared" si="1"/>
        <v>10</v>
      </c>
      <c r="R12" s="64" t="str">
        <f t="shared" si="2"/>
        <v/>
      </c>
      <c r="S12" s="64">
        <f t="shared" si="3"/>
        <v>3</v>
      </c>
      <c r="T12" s="220" t="str">
        <f t="shared" si="4"/>
        <v/>
      </c>
    </row>
    <row r="13" spans="1:25" x14ac:dyDescent="0.25">
      <c r="A13" s="64">
        <f>Projects!A13</f>
        <v>11</v>
      </c>
      <c r="B13" s="72" t="str">
        <f>Projects!B13</f>
        <v>Project 11</v>
      </c>
      <c r="C13" s="6" t="str">
        <f>Projects!D13</f>
        <v>Redeemer University</v>
      </c>
      <c r="D13" s="6">
        <f>Projects!G13</f>
        <v>1</v>
      </c>
      <c r="E13" s="72" t="str">
        <f t="shared" si="0"/>
        <v/>
      </c>
      <c r="F13" s="194">
        <v>5</v>
      </c>
      <c r="G13" s="194">
        <v>2</v>
      </c>
      <c r="H13" s="194">
        <v>3</v>
      </c>
      <c r="I13" s="194">
        <v>8</v>
      </c>
      <c r="J13" s="75" t="str">
        <f>IF(ISNA(VLOOKUP(F13,$O:$P,2,FALSE)),"",VLOOKUP(F13,$O:$P,2,FALSE))</f>
        <v>Era Vandervoort</v>
      </c>
      <c r="K13" s="75" t="str">
        <f>IF(ISNA(VLOOKUP(G13,$O:$P,2,FALSE)),"",VLOOKUP(G13,$O:$P,2,FALSE))</f>
        <v>Chu Vanallen</v>
      </c>
      <c r="L13" s="75" t="str">
        <f>IF(ISNA(VLOOKUP(H13,$O:$P,2,FALSE)),"",VLOOKUP(H13,$O:$P,2,FALSE))</f>
        <v>Yetta Cisneros</v>
      </c>
      <c r="M13" s="75" t="str">
        <f>IF(ISNA(VLOOKUP(I13,$O:$P,2,FALSE)),"",VLOOKUP(I13,$O:$P,2,FALSE))</f>
        <v>Dena Demas</v>
      </c>
    </row>
    <row r="14" spans="1:25" x14ac:dyDescent="0.25">
      <c r="A14" s="64">
        <f>Projects!A14</f>
        <v>12</v>
      </c>
      <c r="B14" s="72" t="str">
        <f>Projects!B14</f>
        <v>Project 12</v>
      </c>
      <c r="C14" s="6" t="str">
        <f>Projects!D14</f>
        <v>Athabasca University</v>
      </c>
      <c r="D14" s="6">
        <f>Projects!G14</f>
        <v>2</v>
      </c>
      <c r="E14" s="72" t="str">
        <f t="shared" si="0"/>
        <v/>
      </c>
      <c r="F14" s="194">
        <v>3</v>
      </c>
      <c r="G14" s="194">
        <v>9</v>
      </c>
      <c r="H14" s="194">
        <v>10</v>
      </c>
      <c r="I14" s="194">
        <v>4</v>
      </c>
      <c r="J14" s="75" t="str">
        <f>IF(ISNA(VLOOKUP(F14,$O:$P,2,FALSE)),"",VLOOKUP(F14,$O:$P,2,FALSE))</f>
        <v>Yetta Cisneros</v>
      </c>
      <c r="K14" s="75" t="str">
        <f>IF(ISNA(VLOOKUP(G14,$O:$P,2,FALSE)),"",VLOOKUP(G14,$O:$P,2,FALSE))</f>
        <v>Gerard Cutright</v>
      </c>
      <c r="L14" s="75" t="str">
        <f>IF(ISNA(VLOOKUP(H14,$O:$P,2,FALSE)),"",VLOOKUP(H14,$O:$P,2,FALSE))</f>
        <v>Rueben Dagenhart</v>
      </c>
      <c r="M14" s="75" t="str">
        <f>IF(ISNA(VLOOKUP(I14,$O:$P,2,FALSE)),"",VLOOKUP(I14,$O:$P,2,FALSE))</f>
        <v>Henriette Wilford</v>
      </c>
    </row>
    <row r="15" spans="1:25" x14ac:dyDescent="0.25">
      <c r="A15" s="64">
        <f>Projects!A15</f>
        <v>13</v>
      </c>
      <c r="B15" s="72" t="str">
        <f>Projects!B15</f>
        <v>Project 13</v>
      </c>
      <c r="C15" s="6" t="str">
        <f>Projects!D15</f>
        <v>Capilano University*</v>
      </c>
      <c r="D15" s="6">
        <f>Projects!G15</f>
        <v>3</v>
      </c>
      <c r="E15" s="72" t="str">
        <f t="shared" si="0"/>
        <v/>
      </c>
      <c r="F15" s="194">
        <v>8</v>
      </c>
      <c r="G15" s="194">
        <v>2</v>
      </c>
      <c r="H15" s="194">
        <v>9</v>
      </c>
      <c r="I15" s="194">
        <v>7</v>
      </c>
      <c r="J15" s="75" t="str">
        <f>IF(ISNA(VLOOKUP(F15,$O:$P,2,FALSE)),"",VLOOKUP(F15,$O:$P,2,FALSE))</f>
        <v>Dena Demas</v>
      </c>
      <c r="K15" s="75" t="str">
        <f>IF(ISNA(VLOOKUP(G15,$O:$P,2,FALSE)),"",VLOOKUP(G15,$O:$P,2,FALSE))</f>
        <v>Chu Vanallen</v>
      </c>
      <c r="L15" s="75" t="str">
        <f>IF(ISNA(VLOOKUP(H15,$O:$P,2,FALSE)),"",VLOOKUP(H15,$O:$P,2,FALSE))</f>
        <v>Gerard Cutright</v>
      </c>
      <c r="M15" s="75" t="str">
        <f>IF(ISNA(VLOOKUP(I15,$O:$P,2,FALSE)),"",VLOOKUP(I15,$O:$P,2,FALSE))</f>
        <v>Aldo Range</v>
      </c>
    </row>
    <row r="16" spans="1:25" x14ac:dyDescent="0.25">
      <c r="A16" s="64">
        <f>Projects!A16</f>
        <v>14</v>
      </c>
      <c r="B16" s="72" t="str">
        <f>Projects!B16</f>
        <v>Project 14</v>
      </c>
      <c r="C16" s="6" t="str">
        <f>Projects!D16</f>
        <v>Cégep de Baie-Comeau</v>
      </c>
      <c r="D16" s="6">
        <f>Projects!G16</f>
        <v>4</v>
      </c>
      <c r="E16" s="72" t="str">
        <f t="shared" si="0"/>
        <v/>
      </c>
      <c r="F16" s="194">
        <v>2</v>
      </c>
      <c r="G16" s="194">
        <v>1</v>
      </c>
      <c r="H16" s="194">
        <v>8</v>
      </c>
      <c r="I16" s="194">
        <v>9</v>
      </c>
      <c r="J16" s="75" t="str">
        <f>IF(ISNA(VLOOKUP(F16,$O:$P,2,FALSE)),"",VLOOKUP(F16,$O:$P,2,FALSE))</f>
        <v>Chu Vanallen</v>
      </c>
      <c r="K16" s="75" t="str">
        <f>IF(ISNA(VLOOKUP(G16,$O:$P,2,FALSE)),"",VLOOKUP(G16,$O:$P,2,FALSE))</f>
        <v>Kristyn Sergio</v>
      </c>
      <c r="L16" s="75" t="str">
        <f>IF(ISNA(VLOOKUP(H16,$O:$P,2,FALSE)),"",VLOOKUP(H16,$O:$P,2,FALSE))</f>
        <v>Dena Demas</v>
      </c>
      <c r="M16" s="75" t="str">
        <f>IF(ISNA(VLOOKUP(I16,$O:$P,2,FALSE)),"",VLOOKUP(I16,$O:$P,2,FALSE))</f>
        <v>Gerard Cutright</v>
      </c>
    </row>
    <row r="17" spans="1:13" x14ac:dyDescent="0.25">
      <c r="A17" s="64">
        <f>Projects!A17</f>
        <v>15</v>
      </c>
      <c r="B17" s="72" t="str">
        <f>Projects!B17</f>
        <v>Project 15</v>
      </c>
      <c r="C17" s="6" t="str">
        <f>Projects!D17</f>
        <v>Cégep de l’Outaouais</v>
      </c>
      <c r="D17" s="6">
        <f>Projects!G17</f>
        <v>0</v>
      </c>
      <c r="E17" s="72" t="str">
        <f t="shared" si="0"/>
        <v/>
      </c>
      <c r="F17" s="194">
        <v>1</v>
      </c>
      <c r="G17" s="194">
        <v>7</v>
      </c>
      <c r="H17" s="194">
        <v>2</v>
      </c>
      <c r="I17" s="194">
        <v>8</v>
      </c>
      <c r="J17" s="75" t="str">
        <f>IF(ISNA(VLOOKUP(F17,$O:$P,2,FALSE)),"",VLOOKUP(F17,$O:$P,2,FALSE))</f>
        <v>Kristyn Sergio</v>
      </c>
      <c r="K17" s="75" t="str">
        <f>IF(ISNA(VLOOKUP(G17,$O:$P,2,FALSE)),"",VLOOKUP(G17,$O:$P,2,FALSE))</f>
        <v>Aldo Range</v>
      </c>
      <c r="L17" s="75" t="str">
        <f>IF(ISNA(VLOOKUP(H17,$O:$P,2,FALSE)),"",VLOOKUP(H17,$O:$P,2,FALSE))</f>
        <v>Chu Vanallen</v>
      </c>
      <c r="M17" s="75" t="str">
        <f>IF(ISNA(VLOOKUP(I17,$O:$P,2,FALSE)),"",VLOOKUP(I17,$O:$P,2,FALSE))</f>
        <v>Dena Demas</v>
      </c>
    </row>
    <row r="18" spans="1:13" x14ac:dyDescent="0.25">
      <c r="A18" s="64">
        <f>Projects!A18</f>
        <v>16</v>
      </c>
      <c r="B18" s="72" t="str">
        <f>Projects!B18</f>
        <v>Project 16</v>
      </c>
      <c r="C18" s="6" t="str">
        <f>Projects!D18</f>
        <v>Cégep de Sorel-Tracy</v>
      </c>
      <c r="D18" s="6">
        <f>Projects!G18</f>
        <v>6</v>
      </c>
      <c r="E18" s="72" t="str">
        <f t="shared" si="0"/>
        <v/>
      </c>
      <c r="F18" s="194">
        <v>9</v>
      </c>
      <c r="G18" s="194">
        <v>8</v>
      </c>
      <c r="H18" s="194">
        <v>1</v>
      </c>
      <c r="I18" s="194"/>
      <c r="J18" s="75" t="str">
        <f>IF(ISNA(VLOOKUP(F18,$O:$P,2,FALSE)),"",VLOOKUP(F18,$O:$P,2,FALSE))</f>
        <v>Gerard Cutright</v>
      </c>
      <c r="K18" s="75" t="str">
        <f>IF(ISNA(VLOOKUP(G18,$O:$P,2,FALSE)),"",VLOOKUP(G18,$O:$P,2,FALSE))</f>
        <v>Dena Demas</v>
      </c>
      <c r="L18" s="75" t="str">
        <f>IF(ISNA(VLOOKUP(H18,$O:$P,2,FALSE)),"",VLOOKUP(H18,$O:$P,2,FALSE))</f>
        <v>Kristyn Sergio</v>
      </c>
      <c r="M18" s="75" t="str">
        <f>IF(ISNA(VLOOKUP(I18,$O:$P,2,FALSE)),"",VLOOKUP(I18,$O:$P,2,FALSE))</f>
        <v/>
      </c>
    </row>
    <row r="19" spans="1:13" x14ac:dyDescent="0.25">
      <c r="A19" s="64">
        <f>Projects!A19</f>
        <v>17</v>
      </c>
      <c r="B19" s="72" t="str">
        <f>Projects!B19</f>
        <v>Project 17</v>
      </c>
      <c r="C19" s="6" t="str">
        <f>Projects!D19</f>
        <v>Cégep Marie-Victorin</v>
      </c>
      <c r="D19" s="6">
        <f>Projects!G19</f>
        <v>7</v>
      </c>
      <c r="E19" s="72" t="str">
        <f t="shared" si="0"/>
        <v/>
      </c>
      <c r="F19" s="194">
        <v>4</v>
      </c>
      <c r="G19" s="194">
        <v>5</v>
      </c>
      <c r="H19" s="194">
        <v>6</v>
      </c>
      <c r="I19" s="194">
        <v>2</v>
      </c>
      <c r="J19" s="75" t="str">
        <f>IF(ISNA(VLOOKUP(F19,$O:$P,2,FALSE)),"",VLOOKUP(F19,$O:$P,2,FALSE))</f>
        <v>Henriette Wilford</v>
      </c>
      <c r="K19" s="75" t="str">
        <f>IF(ISNA(VLOOKUP(G19,$O:$P,2,FALSE)),"",VLOOKUP(G19,$O:$P,2,FALSE))</f>
        <v>Era Vandervoort</v>
      </c>
      <c r="L19" s="75" t="str">
        <f>IF(ISNA(VLOOKUP(H19,$O:$P,2,FALSE)),"",VLOOKUP(H19,$O:$P,2,FALSE))</f>
        <v>Elmer Seawood</v>
      </c>
      <c r="M19" s="75" t="str">
        <f>IF(ISNA(VLOOKUP(I19,$O:$P,2,FALSE)),"",VLOOKUP(I19,$O:$P,2,FALSE))</f>
        <v>Chu Vanallen</v>
      </c>
    </row>
    <row r="20" spans="1:13" x14ac:dyDescent="0.25">
      <c r="A20" s="64">
        <f>Projects!A20</f>
        <v>18</v>
      </c>
      <c r="B20" s="72" t="str">
        <f>Projects!B20</f>
        <v>Project 18</v>
      </c>
      <c r="C20" s="6" t="str">
        <f>Projects!D20</f>
        <v>Concordia University</v>
      </c>
      <c r="D20" s="6">
        <f>Projects!G20</f>
        <v>8</v>
      </c>
      <c r="E20" s="72" t="str">
        <f t="shared" si="0"/>
        <v/>
      </c>
      <c r="F20" s="194">
        <v>2</v>
      </c>
      <c r="G20" s="194">
        <v>1</v>
      </c>
      <c r="H20" s="194">
        <v>3</v>
      </c>
      <c r="I20" s="194">
        <v>9</v>
      </c>
      <c r="J20" s="75" t="str">
        <f>IF(ISNA(VLOOKUP(F20,$O:$P,2,FALSE)),"",VLOOKUP(F20,$O:$P,2,FALSE))</f>
        <v>Chu Vanallen</v>
      </c>
      <c r="K20" s="75" t="str">
        <f>IF(ISNA(VLOOKUP(G20,$O:$P,2,FALSE)),"",VLOOKUP(G20,$O:$P,2,FALSE))</f>
        <v>Kristyn Sergio</v>
      </c>
      <c r="L20" s="75" t="str">
        <f>IF(ISNA(VLOOKUP(H20,$O:$P,2,FALSE)),"",VLOOKUP(H20,$O:$P,2,FALSE))</f>
        <v>Yetta Cisneros</v>
      </c>
      <c r="M20" s="75" t="str">
        <f>IF(ISNA(VLOOKUP(I20,$O:$P,2,FALSE)),"",VLOOKUP(I20,$O:$P,2,FALSE))</f>
        <v>Gerard Cutright</v>
      </c>
    </row>
    <row r="21" spans="1:13" x14ac:dyDescent="0.25">
      <c r="A21" s="64">
        <f>Projects!A21</f>
        <v>19</v>
      </c>
      <c r="B21" s="72" t="str">
        <f>Projects!B21</f>
        <v>Project 19</v>
      </c>
      <c r="C21" s="6" t="str">
        <f>Projects!D21</f>
        <v>Dalhousie University</v>
      </c>
      <c r="D21" s="6">
        <f>Projects!G21</f>
        <v>9</v>
      </c>
      <c r="E21" s="72" t="str">
        <f t="shared" si="0"/>
        <v/>
      </c>
      <c r="F21" s="194">
        <v>4</v>
      </c>
      <c r="G21" s="194">
        <v>1</v>
      </c>
      <c r="H21" s="194">
        <v>5</v>
      </c>
      <c r="I21" s="194">
        <v>6</v>
      </c>
      <c r="J21" s="75" t="str">
        <f>IF(ISNA(VLOOKUP(F21,$O:$P,2,FALSE)),"",VLOOKUP(F21,$O:$P,2,FALSE))</f>
        <v>Henriette Wilford</v>
      </c>
      <c r="K21" s="75" t="str">
        <f>IF(ISNA(VLOOKUP(G21,$O:$P,2,FALSE)),"",VLOOKUP(G21,$O:$P,2,FALSE))</f>
        <v>Kristyn Sergio</v>
      </c>
      <c r="L21" s="75" t="str">
        <f>IF(ISNA(VLOOKUP(H21,$O:$P,2,FALSE)),"",VLOOKUP(H21,$O:$P,2,FALSE))</f>
        <v>Era Vandervoort</v>
      </c>
      <c r="M21" s="75" t="str">
        <f>IF(ISNA(VLOOKUP(I21,$O:$P,2,FALSE)),"",VLOOKUP(I21,$O:$P,2,FALSE))</f>
        <v>Elmer Seawood</v>
      </c>
    </row>
    <row r="22" spans="1:13" x14ac:dyDescent="0.25">
      <c r="A22" s="64">
        <f>Projects!A22</f>
        <v>20</v>
      </c>
      <c r="B22" s="72" t="str">
        <f>Projects!B22</f>
        <v>Project 20</v>
      </c>
      <c r="C22" s="6" t="str">
        <f>Projects!D22</f>
        <v>George Brown College</v>
      </c>
      <c r="D22" s="6">
        <f>Projects!G22</f>
        <v>10</v>
      </c>
      <c r="E22" s="72" t="str">
        <f t="shared" si="0"/>
        <v/>
      </c>
      <c r="F22" s="194">
        <v>9</v>
      </c>
      <c r="G22" s="194">
        <v>4</v>
      </c>
      <c r="H22" s="194">
        <v>6</v>
      </c>
      <c r="I22" s="194">
        <v>7</v>
      </c>
      <c r="J22" s="75" t="str">
        <f>IF(ISNA(VLOOKUP(F22,$O:$P,2,FALSE)),"",VLOOKUP(F22,$O:$P,2,FALSE))</f>
        <v>Gerard Cutright</v>
      </c>
      <c r="K22" s="75" t="str">
        <f>IF(ISNA(VLOOKUP(G22,$O:$P,2,FALSE)),"",VLOOKUP(G22,$O:$P,2,FALSE))</f>
        <v>Henriette Wilford</v>
      </c>
      <c r="L22" s="75" t="str">
        <f>IF(ISNA(VLOOKUP(H22,$O:$P,2,FALSE)),"",VLOOKUP(H22,$O:$P,2,FALSE))</f>
        <v>Elmer Seawood</v>
      </c>
      <c r="M22" s="75" t="str">
        <f>IF(ISNA(VLOOKUP(I22,$O:$P,2,FALSE)),"",VLOOKUP(I22,$O:$P,2,FALSE))</f>
        <v>Aldo Range</v>
      </c>
    </row>
    <row r="23" spans="1:13" x14ac:dyDescent="0.25">
      <c r="A23" s="64">
        <f>Projects!A23</f>
        <v>21</v>
      </c>
      <c r="B23" s="72" t="str">
        <f>Projects!B23</f>
        <v>Project 21</v>
      </c>
      <c r="C23" s="6" t="str">
        <f>Projects!D23</f>
        <v>Medicine Hat College</v>
      </c>
      <c r="D23" s="6">
        <f>Projects!G23</f>
        <v>1</v>
      </c>
      <c r="E23" s="72" t="str">
        <f t="shared" si="0"/>
        <v/>
      </c>
      <c r="F23" s="194">
        <v>7</v>
      </c>
      <c r="G23" s="194">
        <v>3</v>
      </c>
      <c r="H23" s="194">
        <v>8</v>
      </c>
      <c r="I23" s="194"/>
      <c r="J23" s="75" t="str">
        <f>IF(ISNA(VLOOKUP(F23,$O:$P,2,FALSE)),"",VLOOKUP(F23,$O:$P,2,FALSE))</f>
        <v>Aldo Range</v>
      </c>
      <c r="K23" s="75" t="str">
        <f>IF(ISNA(VLOOKUP(G23,$O:$P,2,FALSE)),"",VLOOKUP(G23,$O:$P,2,FALSE))</f>
        <v>Yetta Cisneros</v>
      </c>
      <c r="L23" s="75" t="str">
        <f>IF(ISNA(VLOOKUP(H23,$O:$P,2,FALSE)),"",VLOOKUP(H23,$O:$P,2,FALSE))</f>
        <v>Dena Demas</v>
      </c>
      <c r="M23" s="75" t="str">
        <f>IF(ISNA(VLOOKUP(I23,$O:$P,2,FALSE)),"",VLOOKUP(I23,$O:$P,2,FALSE))</f>
        <v/>
      </c>
    </row>
    <row r="24" spans="1:13" x14ac:dyDescent="0.25">
      <c r="A24" s="64">
        <f>Projects!A24</f>
        <v>22</v>
      </c>
      <c r="B24" s="72" t="str">
        <f>Projects!B24</f>
        <v>Project 22</v>
      </c>
      <c r="C24" s="6" t="str">
        <f>Projects!D24</f>
        <v>Nipissing University</v>
      </c>
      <c r="D24" s="6">
        <f>Projects!G24</f>
        <v>2</v>
      </c>
      <c r="E24" s="72" t="str">
        <f t="shared" si="0"/>
        <v/>
      </c>
      <c r="F24" s="194">
        <v>1</v>
      </c>
      <c r="G24" s="194">
        <v>10</v>
      </c>
      <c r="H24" s="194">
        <v>5</v>
      </c>
      <c r="I24" s="194">
        <v>8</v>
      </c>
      <c r="J24" s="75" t="str">
        <f>IF(ISNA(VLOOKUP(F24,$O:$P,2,FALSE)),"",VLOOKUP(F24,$O:$P,2,FALSE))</f>
        <v>Kristyn Sergio</v>
      </c>
      <c r="K24" s="75" t="str">
        <f>IF(ISNA(VLOOKUP(G24,$O:$P,2,FALSE)),"",VLOOKUP(G24,$O:$P,2,FALSE))</f>
        <v>Rueben Dagenhart</v>
      </c>
      <c r="L24" s="75" t="str">
        <f>IF(ISNA(VLOOKUP(H24,$O:$P,2,FALSE)),"",VLOOKUP(H24,$O:$P,2,FALSE))</f>
        <v>Era Vandervoort</v>
      </c>
      <c r="M24" s="75" t="str">
        <f>IF(ISNA(VLOOKUP(I24,$O:$P,2,FALSE)),"",VLOOKUP(I24,$O:$P,2,FALSE))</f>
        <v>Dena Demas</v>
      </c>
    </row>
    <row r="25" spans="1:13" x14ac:dyDescent="0.25">
      <c r="A25" s="64">
        <f>Projects!A25</f>
        <v>23</v>
      </c>
      <c r="B25" s="72" t="str">
        <f>Projects!B25</f>
        <v>Project 23</v>
      </c>
      <c r="C25" s="6" t="str">
        <f>Projects!D25</f>
        <v>North Island College</v>
      </c>
      <c r="D25" s="6">
        <f>Projects!G25</f>
        <v>3</v>
      </c>
      <c r="E25" s="72" t="str">
        <f t="shared" si="0"/>
        <v/>
      </c>
      <c r="F25" s="194">
        <v>2</v>
      </c>
      <c r="G25" s="194">
        <v>4</v>
      </c>
      <c r="H25" s="194">
        <v>8</v>
      </c>
      <c r="I25" s="194">
        <v>5</v>
      </c>
      <c r="J25" s="75" t="str">
        <f>IF(ISNA(VLOOKUP(F25,$O:$P,2,FALSE)),"",VLOOKUP(F25,$O:$P,2,FALSE))</f>
        <v>Chu Vanallen</v>
      </c>
      <c r="K25" s="75" t="str">
        <f>IF(ISNA(VLOOKUP(G25,$O:$P,2,FALSE)),"",VLOOKUP(G25,$O:$P,2,FALSE))</f>
        <v>Henriette Wilford</v>
      </c>
      <c r="L25" s="75" t="str">
        <f>IF(ISNA(VLOOKUP(H25,$O:$P,2,FALSE)),"",VLOOKUP(H25,$O:$P,2,FALSE))</f>
        <v>Dena Demas</v>
      </c>
      <c r="M25" s="75" t="str">
        <f>IF(ISNA(VLOOKUP(I25,$O:$P,2,FALSE)),"",VLOOKUP(I25,$O:$P,2,FALSE))</f>
        <v>Era Vandervoort</v>
      </c>
    </row>
    <row r="26" spans="1:13" x14ac:dyDescent="0.25">
      <c r="A26" s="64">
        <f>Projects!A26</f>
        <v>24</v>
      </c>
      <c r="B26" s="72" t="str">
        <f>Projects!B26</f>
        <v>Project 24</v>
      </c>
      <c r="C26" s="6" t="str">
        <f>Projects!D26</f>
        <v>St. Lawrence College</v>
      </c>
      <c r="D26" s="6">
        <f>Projects!G26</f>
        <v>4</v>
      </c>
      <c r="E26" s="72" t="str">
        <f t="shared" si="0"/>
        <v/>
      </c>
      <c r="F26" s="194">
        <v>9</v>
      </c>
      <c r="G26" s="194">
        <v>6</v>
      </c>
      <c r="H26" s="194">
        <v>5</v>
      </c>
      <c r="I26" s="194">
        <v>3</v>
      </c>
      <c r="J26" s="75" t="str">
        <f>IF(ISNA(VLOOKUP(F26,$O:$P,2,FALSE)),"",VLOOKUP(F26,$O:$P,2,FALSE))</f>
        <v>Gerard Cutright</v>
      </c>
      <c r="K26" s="75" t="str">
        <f>IF(ISNA(VLOOKUP(G26,$O:$P,2,FALSE)),"",VLOOKUP(G26,$O:$P,2,FALSE))</f>
        <v>Elmer Seawood</v>
      </c>
      <c r="L26" s="75" t="str">
        <f>IF(ISNA(VLOOKUP(H26,$O:$P,2,FALSE)),"",VLOOKUP(H26,$O:$P,2,FALSE))</f>
        <v>Era Vandervoort</v>
      </c>
      <c r="M26" s="75" t="str">
        <f>IF(ISNA(VLOOKUP(I26,$O:$P,2,FALSE)),"",VLOOKUP(I26,$O:$P,2,FALSE))</f>
        <v>Yetta Cisneros</v>
      </c>
    </row>
    <row r="27" spans="1:13" x14ac:dyDescent="0.25">
      <c r="A27" s="64">
        <f>Projects!A27</f>
        <v>25</v>
      </c>
      <c r="B27" s="72" t="str">
        <f>Projects!B27</f>
        <v>Project 25</v>
      </c>
      <c r="C27" s="6" t="str">
        <f>Projects!D27</f>
        <v>University of Guelph</v>
      </c>
      <c r="D27" s="6">
        <f>Projects!G27</f>
        <v>5</v>
      </c>
      <c r="E27" s="72" t="str">
        <f t="shared" si="0"/>
        <v/>
      </c>
      <c r="F27" s="194">
        <v>8</v>
      </c>
      <c r="G27" s="194">
        <v>10</v>
      </c>
      <c r="H27" s="194">
        <v>4</v>
      </c>
      <c r="I27" s="194"/>
      <c r="J27" s="75" t="str">
        <f>IF(ISNA(VLOOKUP(F27,$O:$P,2,FALSE)),"",VLOOKUP(F27,$O:$P,2,FALSE))</f>
        <v>Dena Demas</v>
      </c>
      <c r="K27" s="75" t="str">
        <f>IF(ISNA(VLOOKUP(G27,$O:$P,2,FALSE)),"",VLOOKUP(G27,$O:$P,2,FALSE))</f>
        <v>Rueben Dagenhart</v>
      </c>
      <c r="L27" s="75" t="str">
        <f>IF(ISNA(VLOOKUP(H27,$O:$P,2,FALSE)),"",VLOOKUP(H27,$O:$P,2,FALSE))</f>
        <v>Henriette Wilford</v>
      </c>
      <c r="M27" s="75" t="str">
        <f>IF(ISNA(VLOOKUP(I27,$O:$P,2,FALSE)),"",VLOOKUP(I27,$O:$P,2,FALSE))</f>
        <v/>
      </c>
    </row>
  </sheetData>
  <conditionalFormatting sqref="D3:D27">
    <cfRule type="cellIs" dxfId="0" priority="2" operator="equal">
      <formula>"X"</formula>
    </cfRule>
  </conditionalFormatting>
  <conditionalFormatting sqref="E3:E27">
    <cfRule type="dataBar" priority="32">
      <dataBar>
        <cfvo type="min"/>
        <cfvo type="max"/>
        <color rgb="FF63C384"/>
      </dataBar>
      <extLst>
        <ext xmlns:x14="http://schemas.microsoft.com/office/spreadsheetml/2009/9/main" uri="{B025F937-C7B1-47D3-B67F-A62EFF666E3E}">
          <x14:id>{39A7C015-135A-4D65-9BE1-4D2EEDBF1041}</x14:id>
        </ext>
      </extLst>
    </cfRule>
  </conditionalFormatting>
  <conditionalFormatting sqref="Q3:Q12">
    <cfRule type="colorScale" priority="33">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9A7C015-135A-4D65-9BE1-4D2EEDBF1041}">
            <x14:dataBar minLength="0" maxLength="100" border="1" negativeBarBorderColorSameAsPositive="0">
              <x14:cfvo type="autoMin"/>
              <x14:cfvo type="autoMax"/>
              <x14:borderColor rgb="FF63C384"/>
              <x14:negativeFillColor rgb="FFFF0000"/>
              <x14:negativeBorderColor rgb="FFFF0000"/>
              <x14:axisColor rgb="FF000000"/>
            </x14:dataBar>
          </x14:cfRule>
          <xm:sqref>E3:E27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0C27-9662-4207-814B-8918C50BC818}">
  <sheetPr codeName="Sheet35">
    <tabColor theme="9" tint="0.79998168889431442"/>
  </sheetPr>
  <dimension ref="A1:AR142"/>
  <sheetViews>
    <sheetView topLeftCell="S1" zoomScale="145" zoomScaleNormal="145" workbookViewId="0">
      <pane ySplit="4" topLeftCell="A5" activePane="bottomLeft" state="frozen"/>
      <selection activeCell="B10" sqref="B10"/>
      <selection pane="bottomLeft" sqref="A1:F1"/>
    </sheetView>
  </sheetViews>
  <sheetFormatPr defaultRowHeight="15" x14ac:dyDescent="0.25"/>
  <cols>
    <col min="1" max="1" width="3.7109375" bestFit="1" customWidth="1"/>
    <col min="2" max="2" width="17.7109375" bestFit="1" customWidth="1"/>
    <col min="3" max="5" width="3.7109375" bestFit="1" customWidth="1"/>
    <col min="6" max="6" width="13.140625" bestFit="1" customWidth="1"/>
    <col min="7" max="7" width="10" bestFit="1" customWidth="1"/>
    <col min="8" max="10" width="9" bestFit="1" customWidth="1"/>
    <col min="11" max="16" width="3.7109375" bestFit="1" customWidth="1"/>
    <col min="17" max="17" width="4.7109375" style="4" bestFit="1" customWidth="1"/>
    <col min="18" max="18" width="2.5703125" style="4" customWidth="1"/>
    <col min="19" max="19" width="3.7109375" style="4" bestFit="1" customWidth="1"/>
    <col min="20" max="20" width="17.7109375" bestFit="1" customWidth="1"/>
    <col min="21" max="21" width="3.7109375" bestFit="1" customWidth="1"/>
    <col min="22" max="22" width="7" bestFit="1" customWidth="1"/>
    <col min="23" max="23" width="6" bestFit="1" customWidth="1"/>
    <col min="24" max="24" width="5.7109375" style="4" bestFit="1" customWidth="1"/>
    <col min="25" max="25" width="2.5703125" style="4" customWidth="1"/>
    <col min="26" max="27" width="3.7109375" style="4" bestFit="1" customWidth="1"/>
    <col min="28" max="28" width="17.7109375" style="4" bestFit="1" customWidth="1"/>
    <col min="29" max="29" width="3.7109375" style="4" bestFit="1" customWidth="1"/>
    <col min="30" max="30" width="3.7109375" bestFit="1" customWidth="1"/>
    <col min="31" max="31" width="9.140625" customWidth="1"/>
    <col min="32" max="32" width="9" style="289" bestFit="1" customWidth="1"/>
    <col min="33" max="33" width="9" bestFit="1" customWidth="1"/>
    <col min="34" max="34" width="9" style="4" bestFit="1" customWidth="1"/>
    <col min="35" max="35" width="11" style="4" bestFit="1" customWidth="1"/>
    <col min="36" max="36" width="2.5703125" customWidth="1"/>
    <col min="37" max="37" width="3.7109375" bestFit="1" customWidth="1"/>
    <col min="38" max="38" width="9.7109375" style="126" bestFit="1" customWidth="1"/>
    <col min="39" max="39" width="9" bestFit="1" customWidth="1"/>
    <col min="40" max="40" width="9" style="243" bestFit="1" customWidth="1"/>
    <col min="41" max="41" width="9" bestFit="1" customWidth="1"/>
    <col min="42" max="42" width="3.7109375" bestFit="1" customWidth="1"/>
    <col min="43" max="44" width="6" bestFit="1" customWidth="1"/>
    <col min="45" max="52" width="9.140625" customWidth="1"/>
  </cols>
  <sheetData>
    <row r="1" spans="1:44" ht="15.75" thickBot="1" x14ac:dyDescent="0.3">
      <c r="A1" s="469" t="s">
        <v>270</v>
      </c>
      <c r="B1" s="470"/>
      <c r="C1" s="470"/>
      <c r="D1" s="470"/>
      <c r="E1" s="470"/>
      <c r="F1" s="470"/>
      <c r="G1" s="231" t="s">
        <v>56</v>
      </c>
      <c r="H1" s="232">
        <v>1</v>
      </c>
      <c r="I1" s="232">
        <v>2</v>
      </c>
      <c r="J1" s="232">
        <v>3</v>
      </c>
      <c r="K1" s="232">
        <f>H1</f>
        <v>1</v>
      </c>
      <c r="L1" s="232">
        <f t="shared" ref="L1:M1" si="0">I1</f>
        <v>2</v>
      </c>
      <c r="M1" s="232">
        <f t="shared" si="0"/>
        <v>3</v>
      </c>
      <c r="N1" s="233">
        <f>COUNTIF(K1:M1,"&lt;&gt;"&amp;"")</f>
        <v>3</v>
      </c>
      <c r="O1" s="234"/>
      <c r="P1" s="235"/>
      <c r="Q1" s="234"/>
      <c r="R1" s="471" t="s">
        <v>271</v>
      </c>
      <c r="S1" s="471"/>
      <c r="T1" s="471"/>
      <c r="U1" s="236"/>
      <c r="V1" s="237" t="s">
        <v>272</v>
      </c>
      <c r="W1" s="238">
        <f>AVERAGE(H3:J3)+(AVERAGE(H4:J4)-AVERAGE(H3:J3))*'Competition Parameters'!$C$6</f>
        <v>3.6</v>
      </c>
      <c r="X1" s="239" t="b">
        <f>'Competition Parameters'!C20</f>
        <v>1</v>
      </c>
      <c r="Y1" s="472" t="str">
        <f>IF('Competition Parameters'!C20,"NORMALIZED ","(NOT NORMALIZED)") &amp; " PROJECT SCORING - PER MARKER"</f>
        <v>NORMALIZED  PROJECT SCORING - PER MARKER</v>
      </c>
      <c r="Z1" s="473"/>
      <c r="AA1" s="473"/>
      <c r="AB1" s="473"/>
      <c r="AC1" s="473"/>
      <c r="AD1" s="473"/>
      <c r="AE1" s="473"/>
      <c r="AF1" s="473"/>
      <c r="AG1" s="240"/>
      <c r="AH1" s="240"/>
      <c r="AI1" s="241"/>
      <c r="AJ1" s="474" t="str">
        <f>IF('Competition Parameters'!C20,"NORMALIZED ","(NOT NORMALIZED)") &amp;" SCORING - PER PROJECT - FINAL RANKING"</f>
        <v>NORMALIZED  SCORING - PER PROJECT - FINAL RANKING</v>
      </c>
      <c r="AK1" s="474"/>
      <c r="AL1" s="474"/>
      <c r="AM1" s="474"/>
      <c r="AN1" s="474"/>
      <c r="AO1" s="474"/>
      <c r="AP1" s="242"/>
      <c r="AQ1" s="242"/>
      <c r="AR1" s="243"/>
    </row>
    <row r="2" spans="1:44" s="74" customFormat="1" ht="49.5" customHeight="1" x14ac:dyDescent="0.25">
      <c r="A2" s="451" t="s">
        <v>181</v>
      </c>
      <c r="B2" s="451" t="s">
        <v>182</v>
      </c>
      <c r="C2" s="451" t="s">
        <v>273</v>
      </c>
      <c r="D2" s="451" t="s">
        <v>243</v>
      </c>
      <c r="E2" s="451" t="s">
        <v>69</v>
      </c>
      <c r="F2" s="245"/>
      <c r="G2" s="246" t="s">
        <v>274</v>
      </c>
      <c r="H2" s="247" t="s">
        <v>62</v>
      </c>
      <c r="I2" s="247" t="s">
        <v>64</v>
      </c>
      <c r="J2" s="247" t="s">
        <v>65</v>
      </c>
      <c r="K2" s="454" t="s">
        <v>289</v>
      </c>
      <c r="L2" s="454" t="s">
        <v>289</v>
      </c>
      <c r="M2" s="454" t="s">
        <v>289</v>
      </c>
      <c r="N2" s="248" t="s">
        <v>275</v>
      </c>
      <c r="O2" s="451" t="s">
        <v>276</v>
      </c>
      <c r="P2" s="451" t="s">
        <v>277</v>
      </c>
      <c r="Q2" s="451" t="s">
        <v>278</v>
      </c>
      <c r="S2" s="457" t="s">
        <v>181</v>
      </c>
      <c r="T2" s="457" t="s">
        <v>182</v>
      </c>
      <c r="U2" s="457" t="s">
        <v>279</v>
      </c>
      <c r="V2" s="457" t="s">
        <v>280</v>
      </c>
      <c r="W2" s="250" t="s">
        <v>281</v>
      </c>
      <c r="X2" s="460" t="s">
        <v>282</v>
      </c>
      <c r="Z2" s="461" t="s">
        <v>69</v>
      </c>
      <c r="AA2" s="461" t="str">
        <f>A2</f>
        <v>Marker #</v>
      </c>
      <c r="AB2" s="461" t="str">
        <f>B2</f>
        <v>Marker Name</v>
      </c>
      <c r="AC2" s="461" t="s">
        <v>273</v>
      </c>
      <c r="AD2" s="461" t="s">
        <v>243</v>
      </c>
      <c r="AE2" s="251" t="str">
        <f>G2</f>
        <v>Criteria-&gt;</v>
      </c>
      <c r="AF2" s="251" t="str">
        <f>H2</f>
        <v>Criteria 1</v>
      </c>
      <c r="AG2" s="251" t="str">
        <f t="shared" ref="AG2:AH4" si="1">I2</f>
        <v>Criteria 2</v>
      </c>
      <c r="AH2" s="251" t="str">
        <f t="shared" si="1"/>
        <v>Criteria 3</v>
      </c>
      <c r="AI2" s="252" t="s">
        <v>283</v>
      </c>
      <c r="AK2" s="253" t="s">
        <v>69</v>
      </c>
      <c r="AL2" s="254" t="s">
        <v>284</v>
      </c>
      <c r="AM2" s="255" t="str">
        <f>AF2</f>
        <v>Criteria 1</v>
      </c>
      <c r="AN2" s="255" t="str">
        <f t="shared" ref="AN2:AO4" si="2">AG2</f>
        <v>Criteria 2</v>
      </c>
      <c r="AO2" s="255" t="str">
        <f t="shared" si="2"/>
        <v>Criteria 3</v>
      </c>
      <c r="AP2" s="464" t="s">
        <v>285</v>
      </c>
      <c r="AQ2" s="464" t="s">
        <v>286</v>
      </c>
      <c r="AR2" s="256"/>
    </row>
    <row r="3" spans="1:44" ht="30" x14ac:dyDescent="0.25">
      <c r="A3" s="452"/>
      <c r="B3" s="452"/>
      <c r="C3" s="452"/>
      <c r="D3" s="452"/>
      <c r="E3" s="452"/>
      <c r="F3" s="258"/>
      <c r="G3" s="259" t="s">
        <v>287</v>
      </c>
      <c r="H3" s="247">
        <v>1</v>
      </c>
      <c r="I3" s="247">
        <v>1</v>
      </c>
      <c r="J3" s="247">
        <v>1</v>
      </c>
      <c r="K3" s="455"/>
      <c r="L3" s="455"/>
      <c r="M3" s="455"/>
      <c r="N3" s="249">
        <f>MIN(H3:J3)</f>
        <v>1</v>
      </c>
      <c r="O3" s="452"/>
      <c r="P3" s="452"/>
      <c r="Q3" s="452"/>
      <c r="R3"/>
      <c r="S3" s="458"/>
      <c r="T3" s="458"/>
      <c r="U3" s="458"/>
      <c r="V3" s="458"/>
      <c r="W3" s="250"/>
      <c r="X3" s="458"/>
      <c r="Y3"/>
      <c r="Z3" s="462"/>
      <c r="AA3" s="462"/>
      <c r="AB3" s="462"/>
      <c r="AC3" s="462"/>
      <c r="AD3" s="462"/>
      <c r="AE3" s="251" t="str">
        <f>G3</f>
        <v>Minimum</v>
      </c>
      <c r="AF3" s="260">
        <f>H3</f>
        <v>1</v>
      </c>
      <c r="AG3" s="260">
        <f t="shared" si="1"/>
        <v>1</v>
      </c>
      <c r="AH3" s="260">
        <f t="shared" si="1"/>
        <v>1</v>
      </c>
      <c r="AI3" s="261">
        <f>SUM(AF3:AH3)</f>
        <v>3</v>
      </c>
      <c r="AK3" s="262"/>
      <c r="AL3" s="263"/>
      <c r="AM3" s="264">
        <f>AF3</f>
        <v>1</v>
      </c>
      <c r="AN3" s="264">
        <f t="shared" si="2"/>
        <v>1</v>
      </c>
      <c r="AO3" s="264">
        <f t="shared" si="2"/>
        <v>1</v>
      </c>
      <c r="AP3" s="465"/>
      <c r="AQ3" s="465"/>
      <c r="AR3" s="265"/>
    </row>
    <row r="4" spans="1:44" ht="42" x14ac:dyDescent="0.25">
      <c r="A4" s="453"/>
      <c r="B4" s="453"/>
      <c r="C4" s="453"/>
      <c r="D4" s="453"/>
      <c r="E4" s="453"/>
      <c r="F4" s="266" t="s">
        <v>73</v>
      </c>
      <c r="G4" s="259" t="s">
        <v>288</v>
      </c>
      <c r="H4" s="247">
        <v>5</v>
      </c>
      <c r="I4" s="247">
        <v>5</v>
      </c>
      <c r="J4" s="247">
        <v>5</v>
      </c>
      <c r="K4" s="456"/>
      <c r="L4" s="456"/>
      <c r="M4" s="456"/>
      <c r="N4" s="267" t="s">
        <v>290</v>
      </c>
      <c r="O4" s="453"/>
      <c r="P4" s="453"/>
      <c r="Q4" s="453"/>
      <c r="R4"/>
      <c r="S4" s="459"/>
      <c r="T4" s="459"/>
      <c r="U4" s="459"/>
      <c r="V4" s="459"/>
      <c r="W4" s="268">
        <f>AVERAGE(W5:W14)</f>
        <v>3.0267898096357073</v>
      </c>
      <c r="X4" s="459"/>
      <c r="Y4"/>
      <c r="Z4" s="463"/>
      <c r="AA4" s="463"/>
      <c r="AB4" s="463"/>
      <c r="AC4" s="463"/>
      <c r="AD4" s="463"/>
      <c r="AE4" s="251" t="str">
        <f>G4</f>
        <v>Maximum</v>
      </c>
      <c r="AF4" s="260">
        <f>H4</f>
        <v>5</v>
      </c>
      <c r="AG4" s="260">
        <f t="shared" si="1"/>
        <v>5</v>
      </c>
      <c r="AH4" s="260">
        <f t="shared" si="1"/>
        <v>5</v>
      </c>
      <c r="AI4" s="269">
        <f>SUM(AF4:AH4)</f>
        <v>15</v>
      </c>
      <c r="AK4" s="270"/>
      <c r="AL4" s="271" t="s">
        <v>73</v>
      </c>
      <c r="AM4" s="264">
        <f>AF4</f>
        <v>5</v>
      </c>
      <c r="AN4" s="264">
        <f t="shared" si="2"/>
        <v>5</v>
      </c>
      <c r="AO4" s="264">
        <f t="shared" si="2"/>
        <v>5</v>
      </c>
      <c r="AP4" s="466"/>
      <c r="AQ4" s="466"/>
      <c r="AR4" s="256" t="s">
        <v>291</v>
      </c>
    </row>
    <row r="5" spans="1:44" x14ac:dyDescent="0.25">
      <c r="A5" s="232">
        <v>1</v>
      </c>
      <c r="B5" s="232" t="s">
        <v>82</v>
      </c>
      <c r="C5" s="232">
        <v>1</v>
      </c>
      <c r="D5" s="232" t="s">
        <v>253</v>
      </c>
      <c r="E5" s="232">
        <v>2</v>
      </c>
      <c r="F5" s="232" t="s">
        <v>85</v>
      </c>
      <c r="G5" s="272"/>
      <c r="H5" s="273">
        <v>3.0430679321289063</v>
      </c>
      <c r="I5" s="273">
        <v>4.1539237499237061</v>
      </c>
      <c r="J5" s="273">
        <v>3.4588074684143066</v>
      </c>
      <c r="K5" s="274">
        <f>IF(AND(H5&gt;=H$3, H5&lt;=H$4),1,0)</f>
        <v>1</v>
      </c>
      <c r="L5" s="274">
        <f>IF(AND(I5&gt;=I$3, I5&lt;=I$4),1,0)</f>
        <v>1</v>
      </c>
      <c r="M5" s="274">
        <f>IF(AND(J5&gt;=J$3, J5&lt;=J$4),1,0)</f>
        <v>1</v>
      </c>
      <c r="N5" s="275">
        <f>SUM(K5:M5)</f>
        <v>3</v>
      </c>
      <c r="O5" s="274">
        <f>IF(COUNT(H5:J5)&lt;N$1,0,1)</f>
        <v>1</v>
      </c>
      <c r="P5" s="276">
        <f>N5*O5</f>
        <v>3</v>
      </c>
      <c r="Q5" s="277">
        <f>IF(P5=N$1,SUM(H5:J5),"")</f>
        <v>10.655799150466919</v>
      </c>
      <c r="R5"/>
      <c r="S5" s="278">
        <v>1</v>
      </c>
      <c r="T5" s="279" t="str">
        <f>IF(LEN(A5)&gt;0,VLOOKUP(S5,Markers!A:B,2,FALSE),"")</f>
        <v>Kristyn Sergio</v>
      </c>
      <c r="U5" s="279">
        <f>SUMIF(A:A,S5,P:P)</f>
        <v>30</v>
      </c>
      <c r="V5" s="280">
        <f>IF(S5&gt;0,SUMIF($A:$A,S5,Q:Q),"")</f>
        <v>95.504163980484009</v>
      </c>
      <c r="W5" s="281">
        <f>IF(U5&gt;0,V5/U5,"")</f>
        <v>3.1834721326828004</v>
      </c>
      <c r="X5" s="282">
        <f>IF(LEN(W5)&gt;0,IF($X$1,$W$1/W5,1),"")</f>
        <v>1.1308407455623555</v>
      </c>
      <c r="Y5"/>
      <c r="Z5" s="283">
        <f>E5</f>
        <v>2</v>
      </c>
      <c r="AA5" s="283">
        <f>A5</f>
        <v>1</v>
      </c>
      <c r="AB5" s="283" t="str">
        <f>B5</f>
        <v>Kristyn Sergio</v>
      </c>
      <c r="AC5" s="283">
        <f>C5</f>
        <v>1</v>
      </c>
      <c r="AD5" s="283" t="str">
        <f>D5</f>
        <v>L</v>
      </c>
      <c r="AE5" s="284"/>
      <c r="AF5" s="285">
        <f>IF(AND(LEN(H5)&gt;0,$O5=1),H5*VLOOKUP($AA5,$S:$X,6,FALSE),"")</f>
        <v>3.4412252091655477</v>
      </c>
      <c r="AG5" s="285">
        <f>IF(AND(LEN(I5)&gt;0,$O5=1),I5*VLOOKUP($AA5,$S:$X,6,FALSE),"")</f>
        <v>4.6974262303728995</v>
      </c>
      <c r="AH5" s="285">
        <f>IF(AND(LEN(J5)&gt;0,$O5=1),J5*VLOOKUP($AA5,$S:$X,6,FALSE),"")</f>
        <v>3.9113604163382778</v>
      </c>
      <c r="AI5" s="285">
        <f>SUM(AF5:AH5)</f>
        <v>12.050011855876726</v>
      </c>
      <c r="AK5" s="286">
        <v>1</v>
      </c>
      <c r="AL5" s="286" t="str">
        <f>IF(AK5&gt;0,VLOOKUP(AK5,E:F,2,FALSE),"")</f>
        <v>Project 1</v>
      </c>
      <c r="AM5" s="287">
        <f>IF(SUMIF($Z:$Z,$AK5,AF:AF)=0,"",SUMIF($Z:$Z,$AK5,AF:AF)/$AP5)</f>
        <v>2.7743399775857203</v>
      </c>
      <c r="AN5" s="287">
        <f>IF(SUMIF($Z:$Z,$AK5,AG:AG)=0,"",SUMIF($Z:$Z,$AK5,AG:AG)/$AP5)</f>
        <v>3.427414663807796</v>
      </c>
      <c r="AO5" s="287">
        <f>IF(SUMIF($Z:$Z,$AK5,AH:AH)=0,"",SUMIF($Z:$Z,$AK5,AH:AH)/$AP5)</f>
        <v>3.3699420446088402</v>
      </c>
      <c r="AP5" s="288">
        <f>SUMIF(E$5:E$104,AK5,P$5:P$104)/N$1</f>
        <v>4</v>
      </c>
      <c r="AQ5" s="287">
        <f>IF(LEN(AP5)&gt;0,SUM(AM5:AO5),"")</f>
        <v>9.5716966860023565</v>
      </c>
      <c r="AR5" s="265">
        <v>1</v>
      </c>
    </row>
    <row r="6" spans="1:44" x14ac:dyDescent="0.25">
      <c r="A6" s="232">
        <v>1</v>
      </c>
      <c r="B6" s="232" t="s">
        <v>82</v>
      </c>
      <c r="C6" s="232">
        <v>3</v>
      </c>
      <c r="D6" s="232" t="s">
        <v>253</v>
      </c>
      <c r="E6" s="232">
        <v>3</v>
      </c>
      <c r="F6" s="232" t="s">
        <v>89</v>
      </c>
      <c r="G6" s="272"/>
      <c r="H6" s="273">
        <v>2.3818027973175049</v>
      </c>
      <c r="I6" s="273">
        <v>4.8498773574829102</v>
      </c>
      <c r="J6" s="273">
        <v>2.4844720363616943</v>
      </c>
      <c r="K6" s="274">
        <f>IF(AND(H6&gt;=H$3, H6&lt;=H$4),1,0)</f>
        <v>1</v>
      </c>
      <c r="L6" s="274">
        <f>IF(AND(I6&gt;=I$3, I6&lt;=I$4),1,0)</f>
        <v>1</v>
      </c>
      <c r="M6" s="274">
        <f>IF(AND(J6&gt;=J$3, J6&lt;=J$4),1,0)</f>
        <v>1</v>
      </c>
      <c r="N6" s="275">
        <f>SUM(K6:M6)</f>
        <v>3</v>
      </c>
      <c r="O6" s="274">
        <f>IF(COUNT(H6:J6)&lt;N$1,0,1)</f>
        <v>1</v>
      </c>
      <c r="P6" s="276">
        <f t="shared" ref="P6:P69" si="3">N6*O6</f>
        <v>3</v>
      </c>
      <c r="Q6" s="277">
        <f t="shared" ref="Q6:Q69" si="4">IF(P6=N$1,SUM(H6:J6),"")</f>
        <v>9.7161521911621094</v>
      </c>
      <c r="R6"/>
      <c r="S6" s="278">
        <v>2</v>
      </c>
      <c r="T6" s="279" t="str">
        <f>IF(LEN(A6)&gt;0,VLOOKUP(S6,Markers!A:B,2,FALSE),"")</f>
        <v>Chu Vanallen</v>
      </c>
      <c r="U6" s="279">
        <f t="shared" ref="U6:U14" si="5">SUMIF(A:A,S6,P:P)</f>
        <v>30</v>
      </c>
      <c r="V6" s="280">
        <f t="shared" ref="V6:V14" si="6">IF(S6&gt;0,SUMIF($A:$A,S6,Q:Q),"")</f>
        <v>90.581422090530396</v>
      </c>
      <c r="W6" s="281">
        <f t="shared" ref="W6:W14" si="7">IF(U6&gt;0,V6/U6,"")</f>
        <v>3.019380736351013</v>
      </c>
      <c r="X6" s="282">
        <f t="shared" ref="X6:X14" si="8">IF(LEN(W6)&gt;0,IF($X$1,$W$1/W6,1),"")</f>
        <v>1.1922974657216228</v>
      </c>
      <c r="Y6"/>
      <c r="Z6" s="283">
        <f t="shared" ref="Z6:Z69" si="9">E6</f>
        <v>3</v>
      </c>
      <c r="AA6" s="283">
        <f t="shared" ref="AA6:AA69" si="10">A6</f>
        <v>1</v>
      </c>
      <c r="AB6" s="283" t="str">
        <f t="shared" ref="AB6:AB69" si="11">B6</f>
        <v>Kristyn Sergio</v>
      </c>
      <c r="AC6" s="283">
        <f t="shared" ref="AC6:AC69" si="12">C6</f>
        <v>3</v>
      </c>
      <c r="AD6" s="283" t="str">
        <f t="shared" ref="AD6:AD69" si="13">D6</f>
        <v>L</v>
      </c>
      <c r="AE6" s="284"/>
      <c r="AF6" s="285">
        <f>IF(AND(LEN(H6)&gt;0,$O6=1),H6*VLOOKUP($AA6,$S:$X,6,FALSE),"")</f>
        <v>2.693439651101031</v>
      </c>
      <c r="AG6" s="285">
        <f>IF(AND(LEN(I6)&gt;0,$O6=1),I6*VLOOKUP($AA6,$S:$X,6,FALSE),"")</f>
        <v>5.4844389268219604</v>
      </c>
      <c r="AH6" s="285">
        <f>IF(AND(LEN(J6)&gt;0,$O6=1),J6*VLOOKUP($AA6,$S:$X,6,FALSE),"")</f>
        <v>2.809542209928082</v>
      </c>
      <c r="AI6" s="285">
        <f t="shared" ref="AI6:AI69" si="14">SUM(AF6:AH6)</f>
        <v>10.987420787851073</v>
      </c>
      <c r="AK6" s="286">
        <v>2</v>
      </c>
      <c r="AL6" s="286" t="str">
        <f>IF(AK6&gt;0,VLOOKUP(AK6,E:F,2,FALSE),"")</f>
        <v>Project 2</v>
      </c>
      <c r="AM6" s="287">
        <f>IF(SUMIF($Z:$Z,$AK6,AF:AF)=0,"",SUMIF($Z:$Z,$AK6,AF:AF)/$AP6)</f>
        <v>4.0715405913047782</v>
      </c>
      <c r="AN6" s="287">
        <f>IF(SUMIF($Z:$Z,$AK6,AG:AG)=0,"",SUMIF($Z:$Z,$AK6,AG:AG)/$AP6)</f>
        <v>3.0402308308203474</v>
      </c>
      <c r="AO6" s="287">
        <f>IF(SUMIF($Z:$Z,$AK6,AH:AH)=0,"",SUMIF($Z:$Z,$AK6,AH:AH)/$AP6)</f>
        <v>4.3865156778868304</v>
      </c>
      <c r="AP6" s="288">
        <f>SUMIF(E$5:E$104,AK6,P$5:P$104)/N$1</f>
        <v>4</v>
      </c>
      <c r="AQ6" s="287">
        <f t="shared" ref="AQ6:AQ29" si="15">IF(LEN(AP6)&gt;0,SUM(AM6:AO6),"")</f>
        <v>11.498287100011956</v>
      </c>
      <c r="AR6" s="265">
        <v>2</v>
      </c>
    </row>
    <row r="7" spans="1:44" x14ac:dyDescent="0.25">
      <c r="A7" s="232">
        <v>1</v>
      </c>
      <c r="B7" s="232" t="s">
        <v>82</v>
      </c>
      <c r="C7" s="232">
        <v>2</v>
      </c>
      <c r="D7" s="232" t="s">
        <v>253</v>
      </c>
      <c r="E7" s="232">
        <v>9</v>
      </c>
      <c r="F7" s="232" t="s">
        <v>113</v>
      </c>
      <c r="G7" s="272"/>
      <c r="H7" s="273">
        <v>2.2142329216003418</v>
      </c>
      <c r="I7" s="273">
        <v>1.8743155002593994</v>
      </c>
      <c r="J7" s="273">
        <v>4.0959720611572266</v>
      </c>
      <c r="K7" s="274">
        <f>IF(AND(H7&gt;=H$3, H7&lt;=H$4),1,0)</f>
        <v>1</v>
      </c>
      <c r="L7" s="274">
        <f>IF(AND(I7&gt;=I$3, I7&lt;=I$4),1,0)</f>
        <v>1</v>
      </c>
      <c r="M7" s="274">
        <f>IF(AND(J7&gt;=J$3, J7&lt;=J$4),1,0)</f>
        <v>1</v>
      </c>
      <c r="N7" s="275">
        <f>SUM(K7:M7)</f>
        <v>3</v>
      </c>
      <c r="O7" s="274">
        <f>IF(COUNT(H7:J7)&lt;N$1,0,1)</f>
        <v>1</v>
      </c>
      <c r="P7" s="276">
        <f t="shared" si="3"/>
        <v>3</v>
      </c>
      <c r="Q7" s="277">
        <f t="shared" si="4"/>
        <v>8.1845204830169678</v>
      </c>
      <c r="R7"/>
      <c r="S7" s="278">
        <v>3</v>
      </c>
      <c r="T7" s="279" t="str">
        <f>IF(LEN(A7)&gt;0,VLOOKUP(S7,Markers!A:B,2,FALSE),"")</f>
        <v>Yetta Cisneros</v>
      </c>
      <c r="U7" s="279">
        <f t="shared" si="5"/>
        <v>21</v>
      </c>
      <c r="V7" s="280">
        <f t="shared" si="6"/>
        <v>58.686781406402588</v>
      </c>
      <c r="W7" s="281">
        <f t="shared" si="7"/>
        <v>2.7946086384001232</v>
      </c>
      <c r="X7" s="282">
        <f t="shared" si="8"/>
        <v>1.2881946869172183</v>
      </c>
      <c r="Y7"/>
      <c r="Z7" s="283">
        <f t="shared" si="9"/>
        <v>9</v>
      </c>
      <c r="AA7" s="283">
        <f t="shared" si="10"/>
        <v>1</v>
      </c>
      <c r="AB7" s="283" t="str">
        <f t="shared" si="11"/>
        <v>Kristyn Sergio</v>
      </c>
      <c r="AC7" s="283">
        <f t="shared" si="12"/>
        <v>2</v>
      </c>
      <c r="AD7" s="283" t="str">
        <f t="shared" si="13"/>
        <v>L</v>
      </c>
      <c r="AE7" s="284"/>
      <c r="AF7" s="285">
        <f>IF(AND(LEN(H7)&gt;0,$O7=1),H7*VLOOKUP($AA7,$S:$X,6,FALSE),"")</f>
        <v>2.503944807911243</v>
      </c>
      <c r="AG7" s="285">
        <f>IF(AND(LEN(I7)&gt;0,$O7=1),I7*VLOOKUP($AA7,$S:$X,6,FALSE),"")</f>
        <v>2.1195523377324186</v>
      </c>
      <c r="AH7" s="285">
        <f>IF(AND(LEN(J7)&gt;0,$O7=1),J7*VLOOKUP($AA7,$S:$X,6,FALSE),"")</f>
        <v>4.6318920994416164</v>
      </c>
      <c r="AI7" s="285">
        <f t="shared" si="14"/>
        <v>9.2553892450852775</v>
      </c>
      <c r="AK7" s="286">
        <v>3</v>
      </c>
      <c r="AL7" s="286" t="str">
        <f>IF(AK7&gt;0,VLOOKUP(AK7,E:F,2,FALSE),"")</f>
        <v>Project 3</v>
      </c>
      <c r="AM7" s="287">
        <f>IF(SUMIF($Z:$Z,$AK7,AF:AF)=0,"",SUMIF($Z:$Z,$AK7,AF:AF)/$AP7)</f>
        <v>3.6901350718764938</v>
      </c>
      <c r="AN7" s="287">
        <f>IF(SUMIF($Z:$Z,$AK7,AG:AG)=0,"",SUMIF($Z:$Z,$AK7,AG:AG)/$AP7)</f>
        <v>4.6337309103278255</v>
      </c>
      <c r="AO7" s="287">
        <f>IF(SUMIF($Z:$Z,$AK7,AH:AH)=0,"",SUMIF($Z:$Z,$AK7,AH:AH)/$AP7)</f>
        <v>3.7332021059431408</v>
      </c>
      <c r="AP7" s="288">
        <f>SUMIF(E$5:E$104,AK7,P$5:P$104)/N$1</f>
        <v>4</v>
      </c>
      <c r="AQ7" s="287">
        <f t="shared" si="15"/>
        <v>12.05706808814746</v>
      </c>
      <c r="AR7" s="265">
        <v>3</v>
      </c>
    </row>
    <row r="8" spans="1:44" x14ac:dyDescent="0.25">
      <c r="A8" s="232">
        <v>1</v>
      </c>
      <c r="B8" s="232" t="s">
        <v>82</v>
      </c>
      <c r="C8" s="232">
        <v>1</v>
      </c>
      <c r="D8" s="232" t="s">
        <v>254</v>
      </c>
      <c r="E8" s="232">
        <v>10</v>
      </c>
      <c r="F8" s="232" t="s">
        <v>117</v>
      </c>
      <c r="G8" s="272"/>
      <c r="H8" s="273">
        <v>4.5752894878387451</v>
      </c>
      <c r="I8" s="273">
        <v>1.4544758796691895</v>
      </c>
      <c r="J8" s="273">
        <v>4.6155006885528564</v>
      </c>
      <c r="K8" s="274">
        <f>IF(AND(H8&gt;=H$3, H8&lt;=H$4),1,0)</f>
        <v>1</v>
      </c>
      <c r="L8" s="274">
        <f>IF(AND(I8&gt;=I$3, I8&lt;=I$4),1,0)</f>
        <v>1</v>
      </c>
      <c r="M8" s="274">
        <f>IF(AND(J8&gt;=J$3, J8&lt;=J$4),1,0)</f>
        <v>1</v>
      </c>
      <c r="N8" s="275">
        <f>SUM(K8:M8)</f>
        <v>3</v>
      </c>
      <c r="O8" s="274">
        <f>IF(COUNT(H8:J8)&lt;N$1,0,1)</f>
        <v>1</v>
      </c>
      <c r="P8" s="276">
        <f t="shared" si="3"/>
        <v>3</v>
      </c>
      <c r="Q8" s="277">
        <f t="shared" si="4"/>
        <v>10.645266056060791</v>
      </c>
      <c r="R8"/>
      <c r="S8" s="278">
        <v>4</v>
      </c>
      <c r="T8" s="279" t="str">
        <f>IF(LEN(A8)&gt;0,VLOOKUP(S8,Markers!A:B,2,FALSE),"")</f>
        <v>Henriette Wilford</v>
      </c>
      <c r="U8" s="279">
        <f t="shared" si="5"/>
        <v>30</v>
      </c>
      <c r="V8" s="280">
        <f t="shared" si="6"/>
        <v>91.415668249130249</v>
      </c>
      <c r="W8" s="281">
        <f t="shared" si="7"/>
        <v>3.0471889416376752</v>
      </c>
      <c r="X8" s="282">
        <f t="shared" si="8"/>
        <v>1.1814167316009041</v>
      </c>
      <c r="Y8"/>
      <c r="Z8" s="283">
        <f t="shared" si="9"/>
        <v>10</v>
      </c>
      <c r="AA8" s="283">
        <f t="shared" si="10"/>
        <v>1</v>
      </c>
      <c r="AB8" s="283" t="str">
        <f t="shared" si="11"/>
        <v>Kristyn Sergio</v>
      </c>
      <c r="AC8" s="283">
        <f t="shared" si="12"/>
        <v>1</v>
      </c>
      <c r="AD8" s="283" t="str">
        <f t="shared" si="13"/>
        <v>M</v>
      </c>
      <c r="AE8" s="284"/>
      <c r="AF8" s="285">
        <f>IF(AND(LEN(H8)&gt;0,$O8=1),H8*VLOOKUP($AA8,$S:$X,6,FALSE),"")</f>
        <v>5.1739237755911738</v>
      </c>
      <c r="AG8" s="285">
        <f>IF(AND(LEN(I8)&gt;0,$O8=1),I8*VLOOKUP($AA8,$S:$X,6,FALSE),"")</f>
        <v>1.644780588167569</v>
      </c>
      <c r="AH8" s="285">
        <f>IF(AND(LEN(J8)&gt;0,$O8=1),J8*VLOOKUP($AA8,$S:$X,6,FALSE),"")</f>
        <v>5.2193962397866773</v>
      </c>
      <c r="AI8" s="285">
        <f t="shared" si="14"/>
        <v>12.03810060354542</v>
      </c>
      <c r="AK8" s="286">
        <v>4</v>
      </c>
      <c r="AL8" s="286" t="str">
        <f>IF(AK8&gt;0,VLOOKUP(AK8,E:F,2,FALSE),"")</f>
        <v>Project 4</v>
      </c>
      <c r="AM8" s="287">
        <f>IF(SUMIF($Z:$Z,$AK8,AF:AF)=0,"",SUMIF($Z:$Z,$AK8,AF:AF)/$AP8)</f>
        <v>4.0860857211378079</v>
      </c>
      <c r="AN8" s="287">
        <f>IF(SUMIF($Z:$Z,$AK8,AG:AG)=0,"",SUMIF($Z:$Z,$AK8,AG:AG)/$AP8)</f>
        <v>4.7390981606773579</v>
      </c>
      <c r="AO8" s="287">
        <f>IF(SUMIF($Z:$Z,$AK8,AH:AH)=0,"",SUMIF($Z:$Z,$AK8,AH:AH)/$AP8)</f>
        <v>2.7840047520492779</v>
      </c>
      <c r="AP8" s="288">
        <f>SUMIF(E$5:E$104,AK8,P$5:P$104)/N$1</f>
        <v>4</v>
      </c>
      <c r="AQ8" s="287">
        <f t="shared" si="15"/>
        <v>11.609188633864443</v>
      </c>
      <c r="AR8" s="265">
        <v>4</v>
      </c>
    </row>
    <row r="9" spans="1:44" x14ac:dyDescent="0.25">
      <c r="A9" s="232">
        <v>1</v>
      </c>
      <c r="B9" s="232" t="s">
        <v>82</v>
      </c>
      <c r="C9" s="232">
        <v>2</v>
      </c>
      <c r="D9" s="232" t="s">
        <v>253</v>
      </c>
      <c r="E9" s="232">
        <v>14</v>
      </c>
      <c r="F9" s="232" t="s">
        <v>133</v>
      </c>
      <c r="G9" s="272"/>
      <c r="H9" s="273">
        <v>3.4866743087768555</v>
      </c>
      <c r="I9" s="273">
        <v>4.5604093074798584</v>
      </c>
      <c r="J9" s="273">
        <v>4.0274367332458496</v>
      </c>
      <c r="K9" s="274">
        <f>IF(AND(H9&gt;=H$3, H9&lt;=H$4),1,0)</f>
        <v>1</v>
      </c>
      <c r="L9" s="274">
        <f>IF(AND(I9&gt;=I$3, I9&lt;=I$4),1,0)</f>
        <v>1</v>
      </c>
      <c r="M9" s="274">
        <f>IF(AND(J9&gt;=J$3, J9&lt;=J$4),1,0)</f>
        <v>1</v>
      </c>
      <c r="N9" s="275">
        <f>SUM(K9:M9)</f>
        <v>3</v>
      </c>
      <c r="O9" s="274">
        <f>IF(COUNT(H9:J9)&lt;N$1,0,1)</f>
        <v>1</v>
      </c>
      <c r="P9" s="276">
        <f t="shared" si="3"/>
        <v>3</v>
      </c>
      <c r="Q9" s="277">
        <f t="shared" si="4"/>
        <v>12.074520349502563</v>
      </c>
      <c r="R9"/>
      <c r="S9" s="278">
        <v>5</v>
      </c>
      <c r="T9" s="279" t="str">
        <f>IF(LEN(A9)&gt;0,VLOOKUP(S9,Markers!A:B,2,FALSE),"")</f>
        <v>Era Vandervoort</v>
      </c>
      <c r="U9" s="279">
        <f t="shared" si="5"/>
        <v>30</v>
      </c>
      <c r="V9" s="280">
        <f t="shared" si="6"/>
        <v>94.699946165084839</v>
      </c>
      <c r="W9" s="281">
        <f t="shared" si="7"/>
        <v>3.1566648721694945</v>
      </c>
      <c r="X9" s="282">
        <f t="shared" si="8"/>
        <v>1.1404441541258108</v>
      </c>
      <c r="Y9"/>
      <c r="Z9" s="283">
        <f t="shared" si="9"/>
        <v>14</v>
      </c>
      <c r="AA9" s="283">
        <f t="shared" si="10"/>
        <v>1</v>
      </c>
      <c r="AB9" s="283" t="str">
        <f t="shared" si="11"/>
        <v>Kristyn Sergio</v>
      </c>
      <c r="AC9" s="283">
        <f t="shared" si="12"/>
        <v>2</v>
      </c>
      <c r="AD9" s="283" t="str">
        <f t="shared" si="13"/>
        <v>L</v>
      </c>
      <c r="AE9" s="284"/>
      <c r="AF9" s="285">
        <f>IF(AND(LEN(H9)&gt;0,$O9=1),H9*VLOOKUP($AA9,$S:$X,6,FALSE),"")</f>
        <v>3.9428733748703295</v>
      </c>
      <c r="AG9" s="285">
        <f>IF(AND(LEN(I9)&gt;0,$O9=1),I9*VLOOKUP($AA9,$S:$X,6,FALSE),"")</f>
        <v>5.1570966613400282</v>
      </c>
      <c r="AH9" s="285">
        <f>IF(AND(LEN(J9)&gt;0,$O9=1),J9*VLOOKUP($AA9,$S:$X,6,FALSE),"")</f>
        <v>4.5543895581289542</v>
      </c>
      <c r="AI9" s="285">
        <f t="shared" si="14"/>
        <v>13.654359594339311</v>
      </c>
      <c r="AK9" s="286">
        <v>5</v>
      </c>
      <c r="AL9" s="286" t="str">
        <f>IF(AK9&gt;0,VLOOKUP(AK9,E:F,2,FALSE),"")</f>
        <v>Project 5</v>
      </c>
      <c r="AM9" s="287">
        <f>IF(SUMIF($Z:$Z,$AK9,AF:AF)=0,"",SUMIF($Z:$Z,$AK9,AF:AF)/$AP9)</f>
        <v>4.101571934932978</v>
      </c>
      <c r="AN9" s="287">
        <f>IF(SUMIF($Z:$Z,$AK9,AG:AG)=0,"",SUMIF($Z:$Z,$AK9,AG:AG)/$AP9)</f>
        <v>4.3384773502479543</v>
      </c>
      <c r="AO9" s="287">
        <f>IF(SUMIF($Z:$Z,$AK9,AH:AH)=0,"",SUMIF($Z:$Z,$AK9,AH:AH)/$AP9)</f>
        <v>4.4007588626546417</v>
      </c>
      <c r="AP9" s="288">
        <f>SUMIF(E$5:E$104,AK9,P$5:P$104)/N$1</f>
        <v>4</v>
      </c>
      <c r="AQ9" s="287">
        <f t="shared" si="15"/>
        <v>12.840808147835574</v>
      </c>
      <c r="AR9" s="265">
        <v>5</v>
      </c>
    </row>
    <row r="10" spans="1:44" x14ac:dyDescent="0.25">
      <c r="A10" s="232">
        <v>1</v>
      </c>
      <c r="B10" s="232" t="s">
        <v>82</v>
      </c>
      <c r="C10" s="232">
        <v>1</v>
      </c>
      <c r="D10" s="232" t="s">
        <v>254</v>
      </c>
      <c r="E10" s="232">
        <v>15</v>
      </c>
      <c r="F10" s="232" t="s">
        <v>137</v>
      </c>
      <c r="G10" s="272"/>
      <c r="H10" s="273">
        <v>2.311657190322876</v>
      </c>
      <c r="I10" s="273">
        <v>3.1530876159667969</v>
      </c>
      <c r="J10" s="273">
        <v>4.2965209484100342</v>
      </c>
      <c r="K10" s="274">
        <f>IF(AND(H10&gt;=H$3, H10&lt;=H$4),1,0)</f>
        <v>1</v>
      </c>
      <c r="L10" s="274">
        <f>IF(AND(I10&gt;=I$3, I10&lt;=I$4),1,0)</f>
        <v>1</v>
      </c>
      <c r="M10" s="274">
        <f>IF(AND(J10&gt;=J$3, J10&lt;=J$4),1,0)</f>
        <v>1</v>
      </c>
      <c r="N10" s="275">
        <f>SUM(K10:M10)</f>
        <v>3</v>
      </c>
      <c r="O10" s="274">
        <f>IF(COUNT(H10:J10)&lt;N$1,0,1)</f>
        <v>1</v>
      </c>
      <c r="P10" s="276">
        <f t="shared" si="3"/>
        <v>3</v>
      </c>
      <c r="Q10" s="277">
        <f t="shared" si="4"/>
        <v>9.761265754699707</v>
      </c>
      <c r="R10"/>
      <c r="S10" s="278">
        <v>6</v>
      </c>
      <c r="T10" s="279" t="str">
        <f>IF(LEN(A10)&gt;0,VLOOKUP(S10,Markers!A:B,2,FALSE),"")</f>
        <v>Elmer Seawood</v>
      </c>
      <c r="U10" s="279">
        <f t="shared" si="5"/>
        <v>24</v>
      </c>
      <c r="V10" s="280">
        <f t="shared" si="6"/>
        <v>68.103146553039551</v>
      </c>
      <c r="W10" s="281">
        <f t="shared" si="7"/>
        <v>2.8376311063766479</v>
      </c>
      <c r="X10" s="282">
        <f t="shared" si="8"/>
        <v>1.2686638484862169</v>
      </c>
      <c r="Y10"/>
      <c r="Z10" s="283">
        <f t="shared" si="9"/>
        <v>15</v>
      </c>
      <c r="AA10" s="283">
        <f t="shared" si="10"/>
        <v>1</v>
      </c>
      <c r="AB10" s="283" t="str">
        <f t="shared" si="11"/>
        <v>Kristyn Sergio</v>
      </c>
      <c r="AC10" s="283">
        <f t="shared" si="12"/>
        <v>1</v>
      </c>
      <c r="AD10" s="283" t="str">
        <f t="shared" si="13"/>
        <v>M</v>
      </c>
      <c r="AE10" s="284"/>
      <c r="AF10" s="285">
        <f>IF(AND(LEN(H10)&gt;0,$O10=1),H10*VLOOKUP($AA10,$S:$X,6,FALSE),"")</f>
        <v>2.6141161405893008</v>
      </c>
      <c r="AG10" s="285">
        <f>IF(AND(LEN(I10)&gt;0,$O10=1),I10*VLOOKUP($AA10,$S:$X,6,FALSE),"")</f>
        <v>3.5656399504633227</v>
      </c>
      <c r="AH10" s="285">
        <f>IF(AND(LEN(J10)&gt;0,$O10=1),J10*VLOOKUP($AA10,$S:$X,6,FALSE),"")</f>
        <v>4.8586809526242813</v>
      </c>
      <c r="AI10" s="285">
        <f t="shared" si="14"/>
        <v>11.038437043676904</v>
      </c>
      <c r="AK10" s="286">
        <v>6</v>
      </c>
      <c r="AL10" s="286" t="str">
        <f>IF(AK10&gt;0,VLOOKUP(AK10,E:F,2,FALSE),"")</f>
        <v>Project 6</v>
      </c>
      <c r="AM10" s="287">
        <f>IF(SUMIF($Z:$Z,$AK10,AF:AF)=0,"",SUMIF($Z:$Z,$AK10,AF:AF)/$AP10)</f>
        <v>4.2800131326922255</v>
      </c>
      <c r="AN10" s="287">
        <f>IF(SUMIF($Z:$Z,$AK10,AG:AG)=0,"",SUMIF($Z:$Z,$AK10,AG:AG)/$AP10)</f>
        <v>3.064148444559561</v>
      </c>
      <c r="AO10" s="287">
        <f>IF(SUMIF($Z:$Z,$AK10,AH:AH)=0,"",SUMIF($Z:$Z,$AK10,AH:AH)/$AP10)</f>
        <v>3.745538758959591</v>
      </c>
      <c r="AP10" s="288">
        <f>SUMIF(E$5:E$104,AK10,P$5:P$104)/N$1</f>
        <v>4</v>
      </c>
      <c r="AQ10" s="287">
        <f t="shared" si="15"/>
        <v>11.089700336211378</v>
      </c>
      <c r="AR10" s="265">
        <v>6</v>
      </c>
    </row>
    <row r="11" spans="1:44" x14ac:dyDescent="0.25">
      <c r="A11" s="232">
        <v>1</v>
      </c>
      <c r="B11" s="232" t="s">
        <v>82</v>
      </c>
      <c r="C11" s="232">
        <v>3</v>
      </c>
      <c r="D11" s="232" t="s">
        <v>253</v>
      </c>
      <c r="E11" s="232">
        <v>16</v>
      </c>
      <c r="F11" s="232" t="s">
        <v>141</v>
      </c>
      <c r="G11" s="272"/>
      <c r="H11" s="273">
        <v>1.6130471229553223</v>
      </c>
      <c r="I11" s="273">
        <v>4.172990083694458</v>
      </c>
      <c r="J11" s="273">
        <v>2.7145967483520508</v>
      </c>
      <c r="K11" s="274">
        <f>IF(AND(H11&gt;=H$3, H11&lt;=H$4),1,0)</f>
        <v>1</v>
      </c>
      <c r="L11" s="274">
        <f>IF(AND(I11&gt;=I$3, I11&lt;=I$4),1,0)</f>
        <v>1</v>
      </c>
      <c r="M11" s="274">
        <f>IF(AND(J11&gt;=J$3, J11&lt;=J$4),1,0)</f>
        <v>1</v>
      </c>
      <c r="N11" s="275">
        <f>SUM(K11:M11)</f>
        <v>3</v>
      </c>
      <c r="O11" s="274">
        <f>IF(COUNT(H11:J11)&lt;N$1,0,1)</f>
        <v>1</v>
      </c>
      <c r="P11" s="276">
        <f t="shared" si="3"/>
        <v>3</v>
      </c>
      <c r="Q11" s="277">
        <f t="shared" si="4"/>
        <v>8.5006339550018311</v>
      </c>
      <c r="R11"/>
      <c r="S11" s="278">
        <v>7</v>
      </c>
      <c r="T11" s="279" t="str">
        <f>IF(LEN(A11)&gt;0,VLOOKUP(S11,Markers!A:B,2,FALSE),"")</f>
        <v>Aldo Range</v>
      </c>
      <c r="U11" s="279">
        <f t="shared" si="5"/>
        <v>27</v>
      </c>
      <c r="V11" s="280">
        <f t="shared" si="6"/>
        <v>76.485121250152588</v>
      </c>
      <c r="W11" s="281">
        <f t="shared" si="7"/>
        <v>2.8327822685241699</v>
      </c>
      <c r="X11" s="282">
        <f t="shared" si="8"/>
        <v>1.2708354044716388</v>
      </c>
      <c r="Y11"/>
      <c r="Z11" s="283">
        <f t="shared" si="9"/>
        <v>16</v>
      </c>
      <c r="AA11" s="283">
        <f t="shared" si="10"/>
        <v>1</v>
      </c>
      <c r="AB11" s="283" t="str">
        <f t="shared" si="11"/>
        <v>Kristyn Sergio</v>
      </c>
      <c r="AC11" s="283">
        <f t="shared" si="12"/>
        <v>3</v>
      </c>
      <c r="AD11" s="283" t="str">
        <f t="shared" si="13"/>
        <v>L</v>
      </c>
      <c r="AE11" s="284"/>
      <c r="AF11" s="285">
        <f>IF(AND(LEN(H11)&gt;0,$O11=1),H11*VLOOKUP($AA11,$S:$X,6,FALSE),"")</f>
        <v>1.8240994111500091</v>
      </c>
      <c r="AG11" s="285">
        <f>IF(AND(LEN(I11)&gt;0,$O11=1),I11*VLOOKUP($AA11,$S:$X,6,FALSE),"")</f>
        <v>4.7189872174693575</v>
      </c>
      <c r="AH11" s="285">
        <f>IF(AND(LEN(J11)&gt;0,$O11=1),J11*VLOOKUP($AA11,$S:$X,6,FALSE),"")</f>
        <v>3.0697766108075788</v>
      </c>
      <c r="AI11" s="285">
        <f t="shared" si="14"/>
        <v>9.6128632394269466</v>
      </c>
      <c r="AK11" s="286">
        <v>7</v>
      </c>
      <c r="AL11" s="286" t="str">
        <f>IF(AK11&gt;0,VLOOKUP(AK11,E:F,2,FALSE),"")</f>
        <v>Project 7</v>
      </c>
      <c r="AM11" s="287">
        <f>IF(SUMIF($Z:$Z,$AK11,AF:AF)=0,"",SUMIF($Z:$Z,$AK11,AF:AF)/$AP11)</f>
        <v>2.943870555466547</v>
      </c>
      <c r="AN11" s="287">
        <f>IF(SUMIF($Z:$Z,$AK11,AG:AG)=0,"",SUMIF($Z:$Z,$AK11,AG:AG)/$AP11)</f>
        <v>4.759471047570603</v>
      </c>
      <c r="AO11" s="287">
        <f>IF(SUMIF($Z:$Z,$AK11,AH:AH)=0,"",SUMIF($Z:$Z,$AK11,AH:AH)/$AP11)</f>
        <v>4.1611767624741525</v>
      </c>
      <c r="AP11" s="288">
        <f>SUMIF(E$5:E$104,AK11,P$5:P$104)/N$1</f>
        <v>4</v>
      </c>
      <c r="AQ11" s="287">
        <f t="shared" si="15"/>
        <v>11.864518365511302</v>
      </c>
      <c r="AR11" s="265">
        <v>7</v>
      </c>
    </row>
    <row r="12" spans="1:44" x14ac:dyDescent="0.25">
      <c r="A12" s="232">
        <v>1</v>
      </c>
      <c r="B12" s="232" t="s">
        <v>82</v>
      </c>
      <c r="C12" s="232">
        <v>2</v>
      </c>
      <c r="D12" s="232" t="s">
        <v>254</v>
      </c>
      <c r="E12" s="232">
        <v>18</v>
      </c>
      <c r="F12" s="232" t="s">
        <v>149</v>
      </c>
      <c r="G12" s="272"/>
      <c r="H12" s="273">
        <v>3.1754701137542725</v>
      </c>
      <c r="I12" s="273">
        <v>1.2857699394226074</v>
      </c>
      <c r="J12" s="273">
        <v>1.2261106967926025</v>
      </c>
      <c r="K12" s="274">
        <f>IF(AND(H12&gt;=H$3, H12&lt;=H$4),1,0)</f>
        <v>1</v>
      </c>
      <c r="L12" s="274">
        <f>IF(AND(I12&gt;=I$3, I12&lt;=I$4),1,0)</f>
        <v>1</v>
      </c>
      <c r="M12" s="274">
        <f>IF(AND(J12&gt;=J$3, J12&lt;=J$4),1,0)</f>
        <v>1</v>
      </c>
      <c r="N12" s="275">
        <f>SUM(K12:M12)</f>
        <v>3</v>
      </c>
      <c r="O12" s="274">
        <f>IF(COUNT(H12:J12)&lt;N$1,0,1)</f>
        <v>1</v>
      </c>
      <c r="P12" s="276">
        <f t="shared" si="3"/>
        <v>3</v>
      </c>
      <c r="Q12" s="277">
        <f t="shared" si="4"/>
        <v>5.6873507499694824</v>
      </c>
      <c r="R12"/>
      <c r="S12" s="278">
        <v>8</v>
      </c>
      <c r="T12" s="279" t="str">
        <f>IF(LEN(A12)&gt;0,VLOOKUP(S12,Markers!A:B,2,FALSE),"")</f>
        <v>Dena Demas</v>
      </c>
      <c r="U12" s="279">
        <f t="shared" si="5"/>
        <v>30</v>
      </c>
      <c r="V12" s="280">
        <f t="shared" si="6"/>
        <v>94.887556314468384</v>
      </c>
      <c r="W12" s="281">
        <f t="shared" si="7"/>
        <v>3.1629185438156129</v>
      </c>
      <c r="X12" s="282">
        <f t="shared" si="8"/>
        <v>1.1381892862966716</v>
      </c>
      <c r="Y12"/>
      <c r="Z12" s="283">
        <f t="shared" si="9"/>
        <v>18</v>
      </c>
      <c r="AA12" s="283">
        <f t="shared" si="10"/>
        <v>1</v>
      </c>
      <c r="AB12" s="283" t="str">
        <f t="shared" si="11"/>
        <v>Kristyn Sergio</v>
      </c>
      <c r="AC12" s="283">
        <f t="shared" si="12"/>
        <v>2</v>
      </c>
      <c r="AD12" s="283" t="str">
        <f t="shared" si="13"/>
        <v>M</v>
      </c>
      <c r="AE12" s="284"/>
      <c r="AF12" s="285">
        <f>IF(AND(LEN(H12)&gt;0,$O12=1),H12*VLOOKUP($AA12,$S:$X,6,FALSE),"")</f>
        <v>3.5909509909488593</v>
      </c>
      <c r="AG12" s="285">
        <f>IF(AND(LEN(I12)&gt;0,$O12=1),I12*VLOOKUP($AA12,$S:$X,6,FALSE),"")</f>
        <v>1.4540010369183261</v>
      </c>
      <c r="AH12" s="285">
        <f>IF(AND(LEN(J12)&gt;0,$O12=1),J12*VLOOKUP($AA12,$S:$X,6,FALSE),"")</f>
        <v>1.3865359345029258</v>
      </c>
      <c r="AI12" s="285">
        <f t="shared" si="14"/>
        <v>6.4314879623701113</v>
      </c>
      <c r="AK12" s="286">
        <v>8</v>
      </c>
      <c r="AL12" s="286" t="str">
        <f>IF(AK12&gt;0,VLOOKUP(AK12,E:F,2,FALSE),"")</f>
        <v>Project 8</v>
      </c>
      <c r="AM12" s="287">
        <f>IF(SUMIF($Z:$Z,$AK12,AF:AF)=0,"",SUMIF($Z:$Z,$AK12,AF:AF)/$AP12)</f>
        <v>2.7037990228357742</v>
      </c>
      <c r="AN12" s="287">
        <f>IF(SUMIF($Z:$Z,$AK12,AG:AG)=0,"",SUMIF($Z:$Z,$AK12,AG:AG)/$AP12)</f>
        <v>5.5924476433619077</v>
      </c>
      <c r="AO12" s="287">
        <f>IF(SUMIF($Z:$Z,$AK12,AH:AH)=0,"",SUMIF($Z:$Z,$AK12,AH:AH)/$AP12)</f>
        <v>2.7983267824947164</v>
      </c>
      <c r="AP12" s="288">
        <f>SUMIF(E$5:E$104,AK12,P$5:P$104)/N$1</f>
        <v>4</v>
      </c>
      <c r="AQ12" s="287">
        <f t="shared" si="15"/>
        <v>11.094573448692397</v>
      </c>
      <c r="AR12" s="265">
        <v>8</v>
      </c>
    </row>
    <row r="13" spans="1:44" x14ac:dyDescent="0.25">
      <c r="A13" s="232">
        <v>1</v>
      </c>
      <c r="B13" s="232" t="s">
        <v>82</v>
      </c>
      <c r="C13" s="232">
        <v>2</v>
      </c>
      <c r="D13" s="232" t="s">
        <v>254</v>
      </c>
      <c r="E13" s="232">
        <v>19</v>
      </c>
      <c r="F13" s="232" t="s">
        <v>153</v>
      </c>
      <c r="G13" s="272"/>
      <c r="H13" s="273">
        <v>4.3413677215576172</v>
      </c>
      <c r="I13" s="273">
        <v>4.9367587566375732</v>
      </c>
      <c r="J13" s="273">
        <v>1.0770993232727051</v>
      </c>
      <c r="K13" s="274">
        <f>IF(AND(H13&gt;=H$3, H13&lt;=H$4),1,0)</f>
        <v>1</v>
      </c>
      <c r="L13" s="274">
        <f>IF(AND(I13&gt;=I$3, I13&lt;=I$4),1,0)</f>
        <v>1</v>
      </c>
      <c r="M13" s="274">
        <f>IF(AND(J13&gt;=J$3, J13&lt;=J$4),1,0)</f>
        <v>1</v>
      </c>
      <c r="N13" s="275">
        <f>SUM(K13:M13)</f>
        <v>3</v>
      </c>
      <c r="O13" s="274">
        <f>IF(COUNT(H13:J13)&lt;N$1,0,1)</f>
        <v>1</v>
      </c>
      <c r="P13" s="276">
        <f t="shared" si="3"/>
        <v>3</v>
      </c>
      <c r="Q13" s="277">
        <f t="shared" si="4"/>
        <v>10.355225801467896</v>
      </c>
      <c r="R13"/>
      <c r="S13" s="278">
        <v>9</v>
      </c>
      <c r="T13" s="279" t="str">
        <f>IF(LEN(A13)&gt;0,VLOOKUP(S13,Markers!A:B,2,FALSE),"")</f>
        <v>Gerard Cutright</v>
      </c>
      <c r="U13" s="279">
        <f t="shared" si="5"/>
        <v>30</v>
      </c>
      <c r="V13" s="280">
        <f t="shared" si="6"/>
        <v>92.884003877639771</v>
      </c>
      <c r="W13" s="281">
        <f t="shared" si="7"/>
        <v>3.0961334625879924</v>
      </c>
      <c r="X13" s="282">
        <f t="shared" si="8"/>
        <v>1.1627405741711265</v>
      </c>
      <c r="Y13"/>
      <c r="Z13" s="283">
        <f t="shared" si="9"/>
        <v>19</v>
      </c>
      <c r="AA13" s="283">
        <f t="shared" si="10"/>
        <v>1</v>
      </c>
      <c r="AB13" s="283" t="str">
        <f t="shared" si="11"/>
        <v>Kristyn Sergio</v>
      </c>
      <c r="AC13" s="283">
        <f t="shared" si="12"/>
        <v>2</v>
      </c>
      <c r="AD13" s="283" t="str">
        <f t="shared" si="13"/>
        <v>M</v>
      </c>
      <c r="AE13" s="284"/>
      <c r="AF13" s="285">
        <f>IF(AND(LEN(H13)&gt;0,$O13=1),H13*VLOOKUP($AA13,$S:$X,6,FALSE),"")</f>
        <v>4.9093955110065606</v>
      </c>
      <c r="AG13" s="285">
        <f>IF(AND(LEN(I13)&gt;0,$O13=1),I13*VLOOKUP($AA13,$S:$X,6,FALSE),"")</f>
        <v>5.58268795301752</v>
      </c>
      <c r="AH13" s="285">
        <f>IF(AND(LEN(J13)&gt;0,$O13=1),J13*VLOOKUP($AA13,$S:$X,6,FALSE),"")</f>
        <v>1.2180278017744144</v>
      </c>
      <c r="AI13" s="285">
        <f t="shared" si="14"/>
        <v>11.710111265798496</v>
      </c>
      <c r="AK13" s="286">
        <v>11</v>
      </c>
      <c r="AL13" s="286" t="str">
        <f>IF(AK13&gt;0,VLOOKUP(AK13,E:F,2,FALSE),"")</f>
        <v>Project 11</v>
      </c>
      <c r="AM13" s="287">
        <f>IF(SUMIF($Z:$Z,$AK13,AF:AF)=0,"",SUMIF($Z:$Z,$AK13,AF:AF)/$AP13)</f>
        <v>3.9229903782931004</v>
      </c>
      <c r="AN13" s="287">
        <f>IF(SUMIF($Z:$Z,$AK13,AG:AG)=0,"",SUMIF($Z:$Z,$AK13,AG:AG)/$AP13)</f>
        <v>3.2238851739992516</v>
      </c>
      <c r="AO13" s="287">
        <f>IF(SUMIF($Z:$Z,$AK13,AH:AH)=0,"",SUMIF($Z:$Z,$AK13,AH:AH)/$AP13)</f>
        <v>2.5082675563738723</v>
      </c>
      <c r="AP13" s="288">
        <f>SUMIF(E$5:E$104,AK13,P$5:P$104)/N$1</f>
        <v>4</v>
      </c>
      <c r="AQ13" s="287">
        <f t="shared" si="15"/>
        <v>9.6551431086662234</v>
      </c>
      <c r="AR13" s="265">
        <v>9</v>
      </c>
    </row>
    <row r="14" spans="1:44" x14ac:dyDescent="0.25">
      <c r="A14" s="232">
        <v>1</v>
      </c>
      <c r="B14" s="232" t="s">
        <v>82</v>
      </c>
      <c r="C14" s="232">
        <v>1</v>
      </c>
      <c r="D14" s="232" t="s">
        <v>254</v>
      </c>
      <c r="E14" s="232">
        <v>22</v>
      </c>
      <c r="F14" s="232" t="s">
        <v>165</v>
      </c>
      <c r="G14" s="272"/>
      <c r="H14" s="273">
        <v>3.6265366077423096</v>
      </c>
      <c r="I14" s="273">
        <v>4.8168478012084961</v>
      </c>
      <c r="J14" s="273">
        <v>1.4800450801849365</v>
      </c>
      <c r="K14" s="274">
        <f>IF(AND(H14&gt;=H$3, H14&lt;=H$4),1,0)</f>
        <v>1</v>
      </c>
      <c r="L14" s="274">
        <f>IF(AND(I14&gt;=I$3, I14&lt;=I$4),1,0)</f>
        <v>1</v>
      </c>
      <c r="M14" s="274">
        <f>IF(AND(J14&gt;=J$3, J14&lt;=J$4),1,0)</f>
        <v>1</v>
      </c>
      <c r="N14" s="275">
        <f>SUM(K14:M14)</f>
        <v>3</v>
      </c>
      <c r="O14" s="274">
        <f>IF(COUNT(H14:J14)&lt;N$1,0,1)</f>
        <v>1</v>
      </c>
      <c r="P14" s="276">
        <f t="shared" si="3"/>
        <v>3</v>
      </c>
      <c r="Q14" s="277">
        <f t="shared" si="4"/>
        <v>9.9234294891357422</v>
      </c>
      <c r="R14"/>
      <c r="S14" s="278">
        <v>10</v>
      </c>
      <c r="T14" s="279" t="str">
        <f>IF(LEN(A14)&gt;0,VLOOKUP(S14,Markers!A:B,2,FALSE),"")</f>
        <v>Rueben Dagenhart</v>
      </c>
      <c r="U14" s="279">
        <f t="shared" si="5"/>
        <v>30</v>
      </c>
      <c r="V14" s="280">
        <f t="shared" si="6"/>
        <v>94.113521814346313</v>
      </c>
      <c r="W14" s="281">
        <f t="shared" si="7"/>
        <v>3.1371173938115438</v>
      </c>
      <c r="X14" s="282">
        <f t="shared" si="8"/>
        <v>1.1475502979587455</v>
      </c>
      <c r="Y14"/>
      <c r="Z14" s="283">
        <f t="shared" si="9"/>
        <v>22</v>
      </c>
      <c r="AA14" s="283">
        <f t="shared" si="10"/>
        <v>1</v>
      </c>
      <c r="AB14" s="283" t="str">
        <f t="shared" si="11"/>
        <v>Kristyn Sergio</v>
      </c>
      <c r="AC14" s="283">
        <f t="shared" si="12"/>
        <v>1</v>
      </c>
      <c r="AD14" s="283" t="str">
        <f t="shared" si="13"/>
        <v>M</v>
      </c>
      <c r="AE14" s="284"/>
      <c r="AF14" s="285">
        <f>IF(AND(LEN(H14)&gt;0,$O14=1),H14*VLOOKUP($AA14,$S:$X,6,FALSE),"")</f>
        <v>4.1010353613084884</v>
      </c>
      <c r="AG14" s="285">
        <f>IF(AND(LEN(I14)&gt;0,$O14=1),I14*VLOOKUP($AA14,$S:$X,6,FALSE),"")</f>
        <v>5.4470877587790083</v>
      </c>
      <c r="AH14" s="285">
        <f>IF(AND(LEN(J14)&gt;0,$O14=1),J14*VLOOKUP($AA14,$S:$X,6,FALSE),"")</f>
        <v>1.6736952819422297</v>
      </c>
      <c r="AI14" s="285">
        <f t="shared" si="14"/>
        <v>11.221818402029726</v>
      </c>
      <c r="AK14" s="286">
        <v>12</v>
      </c>
      <c r="AL14" s="286" t="str">
        <f>IF(AK14&gt;0,VLOOKUP(AK14,E:F,2,FALSE),"")</f>
        <v>Project 12</v>
      </c>
      <c r="AM14" s="287">
        <f>IF(SUMIF($Z:$Z,$AK14,AF:AF)=0,"",SUMIF($Z:$Z,$AK14,AF:AF)/$AP14)</f>
        <v>2.6396307940599466</v>
      </c>
      <c r="AN14" s="287">
        <f>IF(SUMIF($Z:$Z,$AK14,AG:AG)=0,"",SUMIF($Z:$Z,$AK14,AG:AG)/$AP14)</f>
        <v>2.484911835422273</v>
      </c>
      <c r="AO14" s="287">
        <f>IF(SUMIF($Z:$Z,$AK14,AH:AH)=0,"",SUMIF($Z:$Z,$AK14,AH:AH)/$AP14)</f>
        <v>4.2539262766113373</v>
      </c>
      <c r="AP14" s="288">
        <f>SUMIF(E$5:E$104,AK14,P$5:P$104)/N$1</f>
        <v>4</v>
      </c>
      <c r="AQ14" s="287">
        <f t="shared" si="15"/>
        <v>9.3784689060935555</v>
      </c>
      <c r="AR14" s="265">
        <v>10</v>
      </c>
    </row>
    <row r="15" spans="1:44" x14ac:dyDescent="0.25">
      <c r="A15" s="232">
        <v>2</v>
      </c>
      <c r="B15" s="232" t="s">
        <v>86</v>
      </c>
      <c r="C15" s="232">
        <v>3</v>
      </c>
      <c r="D15" s="232" t="s">
        <v>253</v>
      </c>
      <c r="E15" s="232">
        <v>6</v>
      </c>
      <c r="F15" s="232" t="s">
        <v>101</v>
      </c>
      <c r="G15" s="272"/>
      <c r="H15" s="273">
        <v>2.5380606651306152</v>
      </c>
      <c r="I15" s="273">
        <v>2.9711916446685791</v>
      </c>
      <c r="J15" s="273">
        <v>4.6002655029296875</v>
      </c>
      <c r="K15" s="274">
        <f>IF(AND(H15&gt;=H$3, H15&lt;=H$4),1,0)</f>
        <v>1</v>
      </c>
      <c r="L15" s="274">
        <f>IF(AND(I15&gt;=I$3, I15&lt;=I$4),1,0)</f>
        <v>1</v>
      </c>
      <c r="M15" s="274">
        <f>IF(AND(J15&gt;=J$3, J15&lt;=J$4),1,0)</f>
        <v>1</v>
      </c>
      <c r="N15" s="275">
        <f>SUM(K15:M15)</f>
        <v>3</v>
      </c>
      <c r="O15" s="274">
        <f>IF(COUNT(H15:J15)&lt;N$1,0,1)</f>
        <v>1</v>
      </c>
      <c r="P15" s="276">
        <f t="shared" si="3"/>
        <v>3</v>
      </c>
      <c r="Q15" s="277">
        <f t="shared" si="4"/>
        <v>10.109517812728882</v>
      </c>
      <c r="R15"/>
      <c r="S15"/>
      <c r="X15"/>
      <c r="Y15"/>
      <c r="Z15" s="283">
        <f t="shared" si="9"/>
        <v>6</v>
      </c>
      <c r="AA15" s="283">
        <f t="shared" si="10"/>
        <v>2</v>
      </c>
      <c r="AB15" s="283" t="str">
        <f t="shared" si="11"/>
        <v>Chu Vanallen</v>
      </c>
      <c r="AC15" s="283">
        <f t="shared" si="12"/>
        <v>3</v>
      </c>
      <c r="AD15" s="283" t="str">
        <f t="shared" si="13"/>
        <v>L</v>
      </c>
      <c r="AE15" s="284"/>
      <c r="AF15" s="285">
        <f>IF(AND(LEN(H15)&gt;0,$O15=1),H15*VLOOKUP($AA15,$S:$X,6,FALSE),"")</f>
        <v>3.0261232988829687</v>
      </c>
      <c r="AG15" s="285">
        <f>IF(AND(LEN(I15)&gt;0,$O15=1),I15*VLOOKUP($AA15,$S:$X,6,FALSE),"")</f>
        <v>3.5425442681116071</v>
      </c>
      <c r="AH15" s="285">
        <f>IF(AND(LEN(J15)&gt;0,$O15=1),J15*VLOOKUP($AA15,$S:$X,6,FALSE),"")</f>
        <v>5.4848849007896732</v>
      </c>
      <c r="AI15" s="285">
        <f t="shared" si="14"/>
        <v>12.053552467784248</v>
      </c>
      <c r="AK15" s="286">
        <v>13</v>
      </c>
      <c r="AL15" s="286" t="str">
        <f>IF(AK15&gt;0,VLOOKUP(AK15,E:F,2,FALSE),"")</f>
        <v>Project 13</v>
      </c>
      <c r="AM15" s="287">
        <f>IF(SUMIF($Z:$Z,$AK15,AF:AF)=0,"",SUMIF($Z:$Z,$AK15,AF:AF)/$AP15)</f>
        <v>3.1508488587348644</v>
      </c>
      <c r="AN15" s="287">
        <f>IF(SUMIF($Z:$Z,$AK15,AG:AG)=0,"",SUMIF($Z:$Z,$AK15,AG:AG)/$AP15)</f>
        <v>4.6984921852457306</v>
      </c>
      <c r="AO15" s="287">
        <f>IF(SUMIF($Z:$Z,$AK15,AH:AH)=0,"",SUMIF($Z:$Z,$AK15,AH:AH)/$AP15)</f>
        <v>3.0578113192357312</v>
      </c>
      <c r="AP15" s="288">
        <f>SUMIF(E$5:E$104,AK15,P$5:P$104)/N$1</f>
        <v>4</v>
      </c>
      <c r="AQ15" s="287">
        <f t="shared" si="15"/>
        <v>10.907152363216326</v>
      </c>
      <c r="AR15" s="265">
        <v>11</v>
      </c>
    </row>
    <row r="16" spans="1:44" x14ac:dyDescent="0.25">
      <c r="A16" s="232">
        <v>2</v>
      </c>
      <c r="B16" s="232" t="s">
        <v>86</v>
      </c>
      <c r="C16" s="232">
        <v>3</v>
      </c>
      <c r="D16" s="232" t="s">
        <v>253</v>
      </c>
      <c r="E16" s="232">
        <v>7</v>
      </c>
      <c r="F16" s="232" t="s">
        <v>105</v>
      </c>
      <c r="G16" s="272"/>
      <c r="H16" s="273">
        <v>1.6776435375213623</v>
      </c>
      <c r="I16" s="273">
        <v>4.3017106056213379</v>
      </c>
      <c r="J16" s="273">
        <v>3.6109058856964111</v>
      </c>
      <c r="K16" s="274">
        <f>IF(AND(H16&gt;=H$3, H16&lt;=H$4),1,0)</f>
        <v>1</v>
      </c>
      <c r="L16" s="274">
        <f>IF(AND(I16&gt;=I$3, I16&lt;=I$4),1,0)</f>
        <v>1</v>
      </c>
      <c r="M16" s="274">
        <f>IF(AND(J16&gt;=J$3, J16&lt;=J$4),1,0)</f>
        <v>1</v>
      </c>
      <c r="N16" s="275">
        <f>SUM(K16:M16)</f>
        <v>3</v>
      </c>
      <c r="O16" s="274">
        <f>IF(COUNT(H16:J16)&lt;N$1,0,1)</f>
        <v>1</v>
      </c>
      <c r="P16" s="276">
        <f t="shared" si="3"/>
        <v>3</v>
      </c>
      <c r="Q16" s="277">
        <f t="shared" si="4"/>
        <v>9.5902600288391113</v>
      </c>
      <c r="R16"/>
      <c r="S16"/>
      <c r="X16"/>
      <c r="Y16"/>
      <c r="Z16" s="283">
        <f t="shared" si="9"/>
        <v>7</v>
      </c>
      <c r="AA16" s="283">
        <f t="shared" si="10"/>
        <v>2</v>
      </c>
      <c r="AB16" s="283" t="str">
        <f t="shared" si="11"/>
        <v>Chu Vanallen</v>
      </c>
      <c r="AC16" s="283">
        <f t="shared" si="12"/>
        <v>3</v>
      </c>
      <c r="AD16" s="283" t="str">
        <f t="shared" si="13"/>
        <v>L</v>
      </c>
      <c r="AE16" s="284"/>
      <c r="AF16" s="285">
        <f>IF(AND(LEN(H16)&gt;0,$O16=1),H16*VLOOKUP($AA16,$S:$X,6,FALSE),"")</f>
        <v>2.0002501381709785</v>
      </c>
      <c r="AG16" s="285">
        <f>IF(AND(LEN(I16)&gt;0,$O16=1),I16*VLOOKUP($AA16,$S:$X,6,FALSE),"")</f>
        <v>5.1289186533501478</v>
      </c>
      <c r="AH16" s="285">
        <f>IF(AND(LEN(J16)&gt;0,$O16=1),J16*VLOOKUP($AA16,$S:$X,6,FALSE),"")</f>
        <v>4.3052739364751229</v>
      </c>
      <c r="AI16" s="285">
        <f t="shared" si="14"/>
        <v>11.434442727996249</v>
      </c>
      <c r="AK16" s="286">
        <v>14</v>
      </c>
      <c r="AL16" s="286" t="str">
        <f>IF(AK16&gt;0,VLOOKUP(AK16,E:F,2,FALSE),"")</f>
        <v>Project 14</v>
      </c>
      <c r="AM16" s="287">
        <f>IF(SUMIF($Z:$Z,$AK16,AF:AF)=0,"",SUMIF($Z:$Z,$AK16,AF:AF)/$AP16)</f>
        <v>3.3028870339544256</v>
      </c>
      <c r="AN16" s="287">
        <f>IF(SUMIF($Z:$Z,$AK16,AG:AG)=0,"",SUMIF($Z:$Z,$AK16,AG:AG)/$AP16)</f>
        <v>3.3901461943040192</v>
      </c>
      <c r="AO16" s="287">
        <f>IF(SUMIF($Z:$Z,$AK16,AH:AH)=0,"",SUMIF($Z:$Z,$AK16,AH:AH)/$AP16)</f>
        <v>3.2669795253424319</v>
      </c>
      <c r="AP16" s="288">
        <f>SUMIF(E$5:E$104,AK16,P$5:P$104)/N$1</f>
        <v>4</v>
      </c>
      <c r="AQ16" s="287">
        <f t="shared" si="15"/>
        <v>9.9600127536008767</v>
      </c>
      <c r="AR16" s="265">
        <v>12</v>
      </c>
    </row>
    <row r="17" spans="1:44" x14ac:dyDescent="0.25">
      <c r="A17" s="232">
        <v>2</v>
      </c>
      <c r="B17" s="232" t="s">
        <v>86</v>
      </c>
      <c r="C17" s="232">
        <v>2</v>
      </c>
      <c r="D17" s="232" t="s">
        <v>254</v>
      </c>
      <c r="E17" s="232">
        <v>10</v>
      </c>
      <c r="F17" s="232" t="s">
        <v>117</v>
      </c>
      <c r="G17" s="272"/>
      <c r="H17" s="273">
        <v>1.8891305923461914</v>
      </c>
      <c r="I17" s="273">
        <v>1.1870248317718506</v>
      </c>
      <c r="J17" s="273">
        <v>4.645637035369873</v>
      </c>
      <c r="K17" s="274">
        <f>IF(AND(H17&gt;=H$3, H17&lt;=H$4),1,0)</f>
        <v>1</v>
      </c>
      <c r="L17" s="274">
        <f>IF(AND(I17&gt;=I$3, I17&lt;=I$4),1,0)</f>
        <v>1</v>
      </c>
      <c r="M17" s="274">
        <f>IF(AND(J17&gt;=J$3, J17&lt;=J$4),1,0)</f>
        <v>1</v>
      </c>
      <c r="N17" s="275">
        <f>SUM(K17:M17)</f>
        <v>3</v>
      </c>
      <c r="O17" s="274">
        <f>IF(COUNT(H17:J17)&lt;N$1,0,1)</f>
        <v>1</v>
      </c>
      <c r="P17" s="276">
        <f t="shared" si="3"/>
        <v>3</v>
      </c>
      <c r="Q17" s="277">
        <f t="shared" si="4"/>
        <v>7.721792459487915</v>
      </c>
      <c r="R17"/>
      <c r="S17"/>
      <c r="X17"/>
      <c r="Y17"/>
      <c r="Z17" s="283">
        <f t="shared" si="9"/>
        <v>10</v>
      </c>
      <c r="AA17" s="283">
        <f t="shared" si="10"/>
        <v>2</v>
      </c>
      <c r="AB17" s="283" t="str">
        <f t="shared" si="11"/>
        <v>Chu Vanallen</v>
      </c>
      <c r="AC17" s="283">
        <f t="shared" si="12"/>
        <v>2</v>
      </c>
      <c r="AD17" s="283" t="str">
        <f t="shared" si="13"/>
        <v>M</v>
      </c>
      <c r="AE17" s="284"/>
      <c r="AF17" s="285">
        <f>IF(AND(LEN(H17)&gt;0,$O17=1),H17*VLOOKUP($AA17,$S:$X,6,FALSE),"")</f>
        <v>2.2524056176715521</v>
      </c>
      <c r="AG17" s="285">
        <f>IF(AND(LEN(I17)&gt;0,$O17=1),I17*VLOOKUP($AA17,$S:$X,6,FALSE),"")</f>
        <v>1.4152866986702131</v>
      </c>
      <c r="AH17" s="285">
        <f>IF(AND(LEN(J17)&gt;0,$O17=1),J17*VLOOKUP($AA17,$S:$X,6,FALSE),"")</f>
        <v>5.5389812639340121</v>
      </c>
      <c r="AI17" s="285">
        <f t="shared" si="14"/>
        <v>9.2066735802757762</v>
      </c>
      <c r="AK17" s="286">
        <v>15</v>
      </c>
      <c r="AL17" s="286" t="str">
        <f>IF(AK17&gt;0,VLOOKUP(AK17,E:F,2,FALSE),"")</f>
        <v>Project 15</v>
      </c>
      <c r="AM17" s="287">
        <f>IF(SUMIF($Z:$Z,$AK17,AF:AF)=0,"",SUMIF($Z:$Z,$AK17,AF:AF)/$AP17)</f>
        <v>3.0527018557574026</v>
      </c>
      <c r="AN17" s="287">
        <f>IF(SUMIF($Z:$Z,$AK17,AG:AG)=0,"",SUMIF($Z:$Z,$AK17,AG:AG)/$AP17)</f>
        <v>3.7736316849292688</v>
      </c>
      <c r="AO17" s="287">
        <f>IF(SUMIF($Z:$Z,$AK17,AH:AH)=0,"",SUMIF($Z:$Z,$AK17,AH:AH)/$AP17)</f>
        <v>4.4970019202673068</v>
      </c>
      <c r="AP17" s="288">
        <f>SUMIF(E$5:E$104,AK17,P$5:P$104)/N$1</f>
        <v>4</v>
      </c>
      <c r="AQ17" s="287">
        <f t="shared" si="15"/>
        <v>11.323335460953977</v>
      </c>
      <c r="AR17" s="265">
        <v>13</v>
      </c>
    </row>
    <row r="18" spans="1:44" x14ac:dyDescent="0.25">
      <c r="A18" s="232">
        <v>2</v>
      </c>
      <c r="B18" s="232" t="s">
        <v>86</v>
      </c>
      <c r="C18" s="232">
        <v>2</v>
      </c>
      <c r="D18" s="232" t="s">
        <v>254</v>
      </c>
      <c r="E18" s="232">
        <v>11</v>
      </c>
      <c r="F18" s="232" t="s">
        <v>121</v>
      </c>
      <c r="G18" s="272"/>
      <c r="H18" s="273">
        <v>2.9629156589508057</v>
      </c>
      <c r="I18" s="273">
        <v>3.6817340850830078</v>
      </c>
      <c r="J18" s="273">
        <v>1.2633159160614014</v>
      </c>
      <c r="K18" s="274">
        <f>IF(AND(H18&gt;=H$3, H18&lt;=H$4),1,0)</f>
        <v>1</v>
      </c>
      <c r="L18" s="274">
        <f>IF(AND(I18&gt;=I$3, I18&lt;=I$4),1,0)</f>
        <v>1</v>
      </c>
      <c r="M18" s="274">
        <f>IF(AND(J18&gt;=J$3, J18&lt;=J$4),1,0)</f>
        <v>1</v>
      </c>
      <c r="N18" s="275">
        <f>SUM(K18:M18)</f>
        <v>3</v>
      </c>
      <c r="O18" s="274">
        <f>IF(COUNT(H18:J18)&lt;N$1,0,1)</f>
        <v>1</v>
      </c>
      <c r="P18" s="276">
        <f t="shared" si="3"/>
        <v>3</v>
      </c>
      <c r="Q18" s="277">
        <f t="shared" si="4"/>
        <v>7.9079656600952148</v>
      </c>
      <c r="R18"/>
      <c r="S18"/>
      <c r="X18"/>
      <c r="Y18"/>
      <c r="Z18" s="283">
        <f t="shared" si="9"/>
        <v>11</v>
      </c>
      <c r="AA18" s="283">
        <f t="shared" si="10"/>
        <v>2</v>
      </c>
      <c r="AB18" s="283" t="str">
        <f t="shared" si="11"/>
        <v>Chu Vanallen</v>
      </c>
      <c r="AC18" s="283">
        <f t="shared" si="12"/>
        <v>2</v>
      </c>
      <c r="AD18" s="283" t="str">
        <f t="shared" si="13"/>
        <v>M</v>
      </c>
      <c r="AE18" s="284"/>
      <c r="AF18" s="285">
        <f>IF(AND(LEN(H18)&gt;0,$O18=1),H18*VLOOKUP($AA18,$S:$X,6,FALSE),"")</f>
        <v>3.5326768313139576</v>
      </c>
      <c r="AG18" s="285">
        <f>IF(AND(LEN(I18)&gt;0,$O18=1),I18*VLOOKUP($AA18,$S:$X,6,FALSE),"")</f>
        <v>4.389722219105388</v>
      </c>
      <c r="AH18" s="285">
        <f>IF(AND(LEN(J18)&gt;0,$O18=1),J18*VLOOKUP($AA18,$S:$X,6,FALSE),"")</f>
        <v>1.5062483651257992</v>
      </c>
      <c r="AI18" s="285">
        <f t="shared" si="14"/>
        <v>9.4286474155451447</v>
      </c>
      <c r="AK18" s="286">
        <v>17</v>
      </c>
      <c r="AL18" s="286" t="str">
        <f>IF(AK18&gt;0,VLOOKUP(AK18,E:F,2,FALSE),"")</f>
        <v>Project 17</v>
      </c>
      <c r="AM18" s="287">
        <f>IF(SUMIF($Z:$Z,$AK18,AF:AF)=0,"",SUMIF($Z:$Z,$AK18,AF:AF)/$AP18)</f>
        <v>2.1415559087030953</v>
      </c>
      <c r="AN18" s="287">
        <f>IF(SUMIF($Z:$Z,$AK18,AG:AG)=0,"",SUMIF($Z:$Z,$AK18,AG:AG)/$AP18)</f>
        <v>3.6589918326040256</v>
      </c>
      <c r="AO18" s="287">
        <f>IF(SUMIF($Z:$Z,$AK18,AH:AH)=0,"",SUMIF($Z:$Z,$AK18,AH:AH)/$AP18)</f>
        <v>2.9531117044662318</v>
      </c>
      <c r="AP18" s="288">
        <f>SUMIF(E$5:E$104,AK18,P$5:P$104)/N$1</f>
        <v>4</v>
      </c>
      <c r="AQ18" s="287">
        <f t="shared" si="15"/>
        <v>8.7536594457733514</v>
      </c>
      <c r="AR18" s="265">
        <v>14</v>
      </c>
    </row>
    <row r="19" spans="1:44" x14ac:dyDescent="0.25">
      <c r="A19" s="232">
        <v>2</v>
      </c>
      <c r="B19" s="232" t="s">
        <v>86</v>
      </c>
      <c r="C19" s="232">
        <v>2</v>
      </c>
      <c r="D19" s="232" t="s">
        <v>253</v>
      </c>
      <c r="E19" s="232">
        <v>13</v>
      </c>
      <c r="F19" s="232" t="s">
        <v>129</v>
      </c>
      <c r="G19" s="272"/>
      <c r="H19" s="273">
        <v>1.0544590950012207</v>
      </c>
      <c r="I19" s="273">
        <v>4.8233635425567627</v>
      </c>
      <c r="J19" s="273">
        <v>1.8396482467651367</v>
      </c>
      <c r="K19" s="274">
        <f>IF(AND(H19&gt;=H$3, H19&lt;=H$4),1,0)</f>
        <v>1</v>
      </c>
      <c r="L19" s="274">
        <f>IF(AND(I19&gt;=I$3, I19&lt;=I$4),1,0)</f>
        <v>1</v>
      </c>
      <c r="M19" s="274">
        <f>IF(AND(J19&gt;=J$3, J19&lt;=J$4),1,0)</f>
        <v>1</v>
      </c>
      <c r="N19" s="275">
        <f>SUM(K19:M19)</f>
        <v>3</v>
      </c>
      <c r="O19" s="274">
        <f>IF(COUNT(H19:J19)&lt;N$1,0,1)</f>
        <v>1</v>
      </c>
      <c r="P19" s="276">
        <f t="shared" si="3"/>
        <v>3</v>
      </c>
      <c r="Q19" s="277">
        <f t="shared" si="4"/>
        <v>7.7174708843231201</v>
      </c>
      <c r="R19"/>
      <c r="S19"/>
      <c r="X19"/>
      <c r="Y19"/>
      <c r="Z19" s="283">
        <f t="shared" si="9"/>
        <v>13</v>
      </c>
      <c r="AA19" s="283">
        <f t="shared" si="10"/>
        <v>2</v>
      </c>
      <c r="AB19" s="283" t="str">
        <f t="shared" si="11"/>
        <v>Chu Vanallen</v>
      </c>
      <c r="AC19" s="283">
        <f t="shared" si="12"/>
        <v>2</v>
      </c>
      <c r="AD19" s="283" t="str">
        <f t="shared" si="13"/>
        <v>L</v>
      </c>
      <c r="AE19" s="284"/>
      <c r="AF19" s="285">
        <f>IF(AND(LEN(H19)&gt;0,$O19=1),H19*VLOOKUP($AA19,$S:$X,6,FALSE),"")</f>
        <v>1.2572289066770712</v>
      </c>
      <c r="AG19" s="285">
        <f>IF(AND(LEN(I19)&gt;0,$O19=1),I19*VLOOKUP($AA19,$S:$X,6,FALSE),"")</f>
        <v>5.7508841280444969</v>
      </c>
      <c r="AH19" s="285">
        <f>IF(AND(LEN(J19)&gt;0,$O19=1),J19*VLOOKUP($AA19,$S:$X,6,FALSE),"")</f>
        <v>2.193407942437299</v>
      </c>
      <c r="AI19" s="285">
        <f t="shared" si="14"/>
        <v>9.2015209771588662</v>
      </c>
      <c r="AK19" s="286">
        <v>18</v>
      </c>
      <c r="AL19" s="286" t="str">
        <f>IF(AK19&gt;0,VLOOKUP(AK19,E:F,2,FALSE),"")</f>
        <v>Project 18</v>
      </c>
      <c r="AM19" s="287">
        <f>IF(SUMIF($Z:$Z,$AK19,AF:AF)=0,"",SUMIF($Z:$Z,$AK19,AF:AF)/$AP19)</f>
        <v>3.7739309480816168</v>
      </c>
      <c r="AN19" s="287">
        <f>IF(SUMIF($Z:$Z,$AK19,AG:AG)=0,"",SUMIF($Z:$Z,$AK19,AG:AG)/$AP19)</f>
        <v>3.0396444942452279</v>
      </c>
      <c r="AO19" s="287">
        <f>IF(SUMIF($Z:$Z,$AK19,AH:AH)=0,"",SUMIF($Z:$Z,$AK19,AH:AH)/$AP19)</f>
        <v>3.772221027108313</v>
      </c>
      <c r="AP19" s="288">
        <f>SUMIF(E$5:E$104,AK19,P$5:P$104)/N$1</f>
        <v>4</v>
      </c>
      <c r="AQ19" s="287">
        <f t="shared" si="15"/>
        <v>10.585796469435158</v>
      </c>
      <c r="AR19" s="265">
        <v>15</v>
      </c>
    </row>
    <row r="20" spans="1:44" x14ac:dyDescent="0.25">
      <c r="A20" s="232">
        <v>2</v>
      </c>
      <c r="B20" s="232" t="s">
        <v>86</v>
      </c>
      <c r="C20" s="232">
        <v>1</v>
      </c>
      <c r="D20" s="232" t="s">
        <v>255</v>
      </c>
      <c r="E20" s="232">
        <v>14</v>
      </c>
      <c r="F20" s="232" t="s">
        <v>133</v>
      </c>
      <c r="G20" s="272"/>
      <c r="H20" s="273">
        <v>4.5717999935150146</v>
      </c>
      <c r="I20" s="273">
        <v>2.7823271751403809</v>
      </c>
      <c r="J20" s="273">
        <v>1.6797983646392822</v>
      </c>
      <c r="K20" s="274">
        <f>IF(AND(H20&gt;=H$3, H20&lt;=H$4),1,0)</f>
        <v>1</v>
      </c>
      <c r="L20" s="274">
        <f>IF(AND(I20&gt;=I$3, I20&lt;=I$4),1,0)</f>
        <v>1</v>
      </c>
      <c r="M20" s="274">
        <f>IF(AND(J20&gt;=J$3, J20&lt;=J$4),1,0)</f>
        <v>1</v>
      </c>
      <c r="N20" s="275">
        <f>SUM(K20:M20)</f>
        <v>3</v>
      </c>
      <c r="O20" s="274">
        <f>IF(COUNT(H20:J20)&lt;N$1,0,1)</f>
        <v>1</v>
      </c>
      <c r="P20" s="276">
        <f t="shared" si="3"/>
        <v>3</v>
      </c>
      <c r="Q20" s="277">
        <f t="shared" si="4"/>
        <v>9.0339255332946777</v>
      </c>
      <c r="R20"/>
      <c r="S20"/>
      <c r="X20"/>
      <c r="Y20"/>
      <c r="Z20" s="283">
        <f t="shared" si="9"/>
        <v>14</v>
      </c>
      <c r="AA20" s="283">
        <f t="shared" si="10"/>
        <v>2</v>
      </c>
      <c r="AB20" s="283" t="str">
        <f t="shared" si="11"/>
        <v>Chu Vanallen</v>
      </c>
      <c r="AC20" s="283">
        <f t="shared" si="12"/>
        <v>1</v>
      </c>
      <c r="AD20" s="283" t="str">
        <f t="shared" si="13"/>
        <v>H</v>
      </c>
      <c r="AE20" s="284"/>
      <c r="AF20" s="285">
        <f>IF(AND(LEN(H20)&gt;0,$O20=1),H20*VLOOKUP($AA20,$S:$X,6,FALSE),"")</f>
        <v>5.4509455460540837</v>
      </c>
      <c r="AG20" s="285">
        <f>IF(AND(LEN(I20)&gt;0,$O20=1),I20*VLOOKUP($AA20,$S:$X,6,FALSE),"")</f>
        <v>3.3173616397282779</v>
      </c>
      <c r="AH20" s="285">
        <f>IF(AND(LEN(J20)&gt;0,$O20=1),J20*VLOOKUP($AA20,$S:$X,6,FALSE),"")</f>
        <v>2.0028193330827424</v>
      </c>
      <c r="AI20" s="285">
        <f t="shared" si="14"/>
        <v>10.771126518865104</v>
      </c>
      <c r="AK20" s="286">
        <v>19</v>
      </c>
      <c r="AL20" s="286" t="str">
        <f>IF(AK20&gt;0,VLOOKUP(AK20,E:F,2,FALSE),"")</f>
        <v>Project 19</v>
      </c>
      <c r="AM20" s="287">
        <f>IF(SUMIF($Z:$Z,$AK20,AF:AF)=0,"",SUMIF($Z:$Z,$AK20,AF:AF)/$AP20)</f>
        <v>3.154607154601123</v>
      </c>
      <c r="AN20" s="287">
        <f>IF(SUMIF($Z:$Z,$AK20,AG:AG)=0,"",SUMIF($Z:$Z,$AK20,AG:AG)/$AP20)</f>
        <v>4.2699337746465877</v>
      </c>
      <c r="AO20" s="287">
        <f>IF(SUMIF($Z:$Z,$AK20,AH:AH)=0,"",SUMIF($Z:$Z,$AK20,AH:AH)/$AP20)</f>
        <v>4.0820353093792319</v>
      </c>
      <c r="AP20" s="288">
        <f>SUMIF(E$5:E$104,AK20,P$5:P$104)/N$1</f>
        <v>4</v>
      </c>
      <c r="AQ20" s="287">
        <f t="shared" si="15"/>
        <v>11.506576238626941</v>
      </c>
      <c r="AR20" s="265">
        <v>16</v>
      </c>
    </row>
    <row r="21" spans="1:44" x14ac:dyDescent="0.25">
      <c r="A21" s="232">
        <v>2</v>
      </c>
      <c r="B21" s="232" t="s">
        <v>86</v>
      </c>
      <c r="C21" s="232">
        <v>3</v>
      </c>
      <c r="D21" s="232" t="s">
        <v>254</v>
      </c>
      <c r="E21" s="232">
        <v>15</v>
      </c>
      <c r="F21" s="232" t="s">
        <v>137</v>
      </c>
      <c r="G21" s="272"/>
      <c r="H21" s="273">
        <v>2.1502265930175781</v>
      </c>
      <c r="I21" s="273">
        <v>4.0004165172576904</v>
      </c>
      <c r="J21" s="273">
        <v>4.4154229164123535</v>
      </c>
      <c r="K21" s="274">
        <f>IF(AND(H21&gt;=H$3, H21&lt;=H$4),1,0)</f>
        <v>1</v>
      </c>
      <c r="L21" s="274">
        <f>IF(AND(I21&gt;=I$3, I21&lt;=I$4),1,0)</f>
        <v>1</v>
      </c>
      <c r="M21" s="274">
        <f>IF(AND(J21&gt;=J$3, J21&lt;=J$4),1,0)</f>
        <v>1</v>
      </c>
      <c r="N21" s="275">
        <f>SUM(K21:M21)</f>
        <v>3</v>
      </c>
      <c r="O21" s="274">
        <f>IF(COUNT(H21:J21)&lt;N$1,0,1)</f>
        <v>1</v>
      </c>
      <c r="P21" s="276">
        <f t="shared" si="3"/>
        <v>3</v>
      </c>
      <c r="Q21" s="277">
        <f t="shared" si="4"/>
        <v>10.566066026687622</v>
      </c>
      <c r="R21"/>
      <c r="S21"/>
      <c r="X21"/>
      <c r="Y21"/>
      <c r="Z21" s="283">
        <f t="shared" si="9"/>
        <v>15</v>
      </c>
      <c r="AA21" s="283">
        <f t="shared" si="10"/>
        <v>2</v>
      </c>
      <c r="AB21" s="283" t="str">
        <f t="shared" si="11"/>
        <v>Chu Vanallen</v>
      </c>
      <c r="AC21" s="283">
        <f t="shared" si="12"/>
        <v>3</v>
      </c>
      <c r="AD21" s="283" t="str">
        <f t="shared" si="13"/>
        <v>M</v>
      </c>
      <c r="AE21" s="284"/>
      <c r="AF21" s="285">
        <f>IF(AND(LEN(H21)&gt;0,$O21=1),H21*VLOOKUP($AA21,$S:$X,6,FALSE),"")</f>
        <v>2.5637097175820975</v>
      </c>
      <c r="AG21" s="285">
        <f>IF(AND(LEN(I21)&gt;0,$O21=1),I21*VLOOKUP($AA21,$S:$X,6,FALSE),"")</f>
        <v>4.7696864753572648</v>
      </c>
      <c r="AH21" s="285">
        <f>IF(AND(LEN(J21)&gt;0,$O21=1),J21*VLOOKUP($AA21,$S:$X,6,FALSE),"")</f>
        <v>5.2644975533276259</v>
      </c>
      <c r="AI21" s="285">
        <f t="shared" si="14"/>
        <v>12.597893746266989</v>
      </c>
      <c r="AK21" s="286">
        <v>20</v>
      </c>
      <c r="AL21" s="286" t="str">
        <f>IF(AK21&gt;0,VLOOKUP(AK21,E:F,2,FALSE),"")</f>
        <v>Project 20</v>
      </c>
      <c r="AM21" s="287">
        <f>IF(SUMIF($Z:$Z,$AK21,AF:AF)=0,"",SUMIF($Z:$Z,$AK21,AF:AF)/$AP21)</f>
        <v>3.389647399594319</v>
      </c>
      <c r="AN21" s="287">
        <f>IF(SUMIF($Z:$Z,$AK21,AG:AG)=0,"",SUMIF($Z:$Z,$AK21,AG:AG)/$AP21)</f>
        <v>3.5320091103032381</v>
      </c>
      <c r="AO21" s="287">
        <f>IF(SUMIF($Z:$Z,$AK21,AH:AH)=0,"",SUMIF($Z:$Z,$AK21,AH:AH)/$AP21)</f>
        <v>3.6369115643736594</v>
      </c>
      <c r="AP21" s="288">
        <f>SUMIF(E$5:E$104,AK21,P$5:P$104)/N$1</f>
        <v>4</v>
      </c>
      <c r="AQ21" s="287">
        <f t="shared" si="15"/>
        <v>10.558568074271218</v>
      </c>
      <c r="AR21" s="265">
        <v>17</v>
      </c>
    </row>
    <row r="22" spans="1:44" x14ac:dyDescent="0.25">
      <c r="A22" s="232">
        <v>2</v>
      </c>
      <c r="B22" s="232" t="s">
        <v>86</v>
      </c>
      <c r="C22" s="232">
        <v>4</v>
      </c>
      <c r="D22" s="232" t="s">
        <v>253</v>
      </c>
      <c r="E22" s="232">
        <v>17</v>
      </c>
      <c r="F22" s="232" t="s">
        <v>145</v>
      </c>
      <c r="G22" s="272"/>
      <c r="H22" s="273">
        <v>2.0236752033233643</v>
      </c>
      <c r="I22" s="273">
        <v>2.389103889465332</v>
      </c>
      <c r="J22" s="273">
        <v>4.4722611904144287</v>
      </c>
      <c r="K22" s="274">
        <f>IF(AND(H22&gt;=H$3, H22&lt;=H$4),1,0)</f>
        <v>1</v>
      </c>
      <c r="L22" s="274">
        <f>IF(AND(I22&gt;=I$3, I22&lt;=I$4),1,0)</f>
        <v>1</v>
      </c>
      <c r="M22" s="274">
        <f>IF(AND(J22&gt;=J$3, J22&lt;=J$4),1,0)</f>
        <v>1</v>
      </c>
      <c r="N22" s="275">
        <f>SUM(K22:M22)</f>
        <v>3</v>
      </c>
      <c r="O22" s="274">
        <f>IF(COUNT(H22:J22)&lt;N$1,0,1)</f>
        <v>1</v>
      </c>
      <c r="P22" s="276">
        <f t="shared" si="3"/>
        <v>3</v>
      </c>
      <c r="Q22" s="277">
        <f t="shared" si="4"/>
        <v>8.885040283203125</v>
      </c>
      <c r="R22"/>
      <c r="S22"/>
      <c r="X22"/>
      <c r="Y22"/>
      <c r="Z22" s="283">
        <f t="shared" si="9"/>
        <v>17</v>
      </c>
      <c r="AA22" s="283">
        <f t="shared" si="10"/>
        <v>2</v>
      </c>
      <c r="AB22" s="283" t="str">
        <f t="shared" si="11"/>
        <v>Chu Vanallen</v>
      </c>
      <c r="AC22" s="283">
        <f t="shared" si="12"/>
        <v>4</v>
      </c>
      <c r="AD22" s="283" t="str">
        <f t="shared" si="13"/>
        <v>L</v>
      </c>
      <c r="AE22" s="284"/>
      <c r="AF22" s="285">
        <f>IF(AND(LEN(H22)&gt;0,$O22=1),H22*VLOOKUP($AA22,$S:$X,6,FALSE),"")</f>
        <v>2.4128228163661367</v>
      </c>
      <c r="AG22" s="285">
        <f>IF(AND(LEN(I22)&gt;0,$O22=1),I22*VLOOKUP($AA22,$S:$X,6,FALSE),"")</f>
        <v>2.8485225127551872</v>
      </c>
      <c r="AH22" s="285">
        <f>IF(AND(LEN(J22)&gt;0,$O22=1),J22*VLOOKUP($AA22,$S:$X,6,FALSE),"")</f>
        <v>5.3322656833762911</v>
      </c>
      <c r="AI22" s="285">
        <f t="shared" si="14"/>
        <v>10.593611012497615</v>
      </c>
      <c r="AK22" s="286">
        <v>22</v>
      </c>
      <c r="AL22" s="286" t="str">
        <f>IF(AK22&gt;0,VLOOKUP(AK22,E:F,2,FALSE),"")</f>
        <v>Project 22</v>
      </c>
      <c r="AM22" s="287">
        <f>IF(SUMIF($Z:$Z,$AK22,AF:AF)=0,"",SUMIF($Z:$Z,$AK22,AF:AF)/$AP22)</f>
        <v>3.5034582932766622</v>
      </c>
      <c r="AN22" s="287">
        <f>IF(SUMIF($Z:$Z,$AK22,AG:AG)=0,"",SUMIF($Z:$Z,$AK22,AG:AG)/$AP22)</f>
        <v>4.26204734643414</v>
      </c>
      <c r="AO22" s="287">
        <f>IF(SUMIF($Z:$Z,$AK22,AH:AH)=0,"",SUMIF($Z:$Z,$AK22,AH:AH)/$AP22)</f>
        <v>2.650697459007505</v>
      </c>
      <c r="AP22" s="288">
        <f>SUMIF(E$5:E$104,AK22,P$5:P$104)/N$1</f>
        <v>4</v>
      </c>
      <c r="AQ22" s="287">
        <f t="shared" si="15"/>
        <v>10.416203098718308</v>
      </c>
      <c r="AR22" s="265">
        <v>18</v>
      </c>
    </row>
    <row r="23" spans="1:44" x14ac:dyDescent="0.25">
      <c r="A23" s="232">
        <v>2</v>
      </c>
      <c r="B23" s="232" t="s">
        <v>86</v>
      </c>
      <c r="C23" s="232">
        <v>1</v>
      </c>
      <c r="D23" s="232" t="s">
        <v>255</v>
      </c>
      <c r="E23" s="232">
        <v>18</v>
      </c>
      <c r="F23" s="232" t="s">
        <v>149</v>
      </c>
      <c r="G23" s="272"/>
      <c r="H23" s="273">
        <v>4.4344592094421387</v>
      </c>
      <c r="I23" s="273">
        <v>2.6628553867340088</v>
      </c>
      <c r="J23" s="273">
        <v>3.3826961517333984</v>
      </c>
      <c r="K23" s="274">
        <f>IF(AND(H23&gt;=H$3, H23&lt;=H$4),1,0)</f>
        <v>1</v>
      </c>
      <c r="L23" s="274">
        <f>IF(AND(I23&gt;=I$3, I23&lt;=I$4),1,0)</f>
        <v>1</v>
      </c>
      <c r="M23" s="274">
        <f>IF(AND(J23&gt;=J$3, J23&lt;=J$4),1,0)</f>
        <v>1</v>
      </c>
      <c r="N23" s="275">
        <f>SUM(K23:M23)</f>
        <v>3</v>
      </c>
      <c r="O23" s="274">
        <f>IF(COUNT(H23:J23)&lt;N$1,0,1)</f>
        <v>1</v>
      </c>
      <c r="P23" s="276">
        <f t="shared" si="3"/>
        <v>3</v>
      </c>
      <c r="Q23" s="277">
        <f t="shared" si="4"/>
        <v>10.480010747909546</v>
      </c>
      <c r="R23"/>
      <c r="S23"/>
      <c r="X23"/>
      <c r="Y23"/>
      <c r="Z23" s="283">
        <f t="shared" si="9"/>
        <v>18</v>
      </c>
      <c r="AA23" s="283">
        <f t="shared" si="10"/>
        <v>2</v>
      </c>
      <c r="AB23" s="283" t="str">
        <f t="shared" si="11"/>
        <v>Chu Vanallen</v>
      </c>
      <c r="AC23" s="283">
        <f t="shared" si="12"/>
        <v>1</v>
      </c>
      <c r="AD23" s="283" t="str">
        <f t="shared" si="13"/>
        <v>H</v>
      </c>
      <c r="AE23" s="284"/>
      <c r="AF23" s="285">
        <f>IF(AND(LEN(H23)&gt;0,$O23=1),H23*VLOOKUP($AA23,$S:$X,6,FALSE),"")</f>
        <v>5.2871944772637729</v>
      </c>
      <c r="AG23" s="285">
        <f>IF(AND(LEN(I23)&gt;0,$O23=1),I23*VLOOKUP($AA23,$S:$X,6,FALSE),"")</f>
        <v>3.1749157291861305</v>
      </c>
      <c r="AH23" s="285">
        <f>IF(AND(LEN(J23)&gt;0,$O23=1),J23*VLOOKUP($AA23,$S:$X,6,FALSE),"")</f>
        <v>4.033180049018017</v>
      </c>
      <c r="AI23" s="285">
        <f t="shared" si="14"/>
        <v>12.495290255467921</v>
      </c>
      <c r="AK23" s="286">
        <v>23</v>
      </c>
      <c r="AL23" s="286" t="str">
        <f>IF(AK23&gt;0,VLOOKUP(AK23,E:F,2,FALSE),"")</f>
        <v>Project 23</v>
      </c>
      <c r="AM23" s="287">
        <f>IF(SUMIF($Z:$Z,$AK23,AF:AF)=0,"",SUMIF($Z:$Z,$AK23,AF:AF)/$AP23)</f>
        <v>1.9017706410090682</v>
      </c>
      <c r="AN23" s="287">
        <f>IF(SUMIF($Z:$Z,$AK23,AG:AG)=0,"",SUMIF($Z:$Z,$AK23,AG:AG)/$AP23)</f>
        <v>3.8970877774017447</v>
      </c>
      <c r="AO23" s="287">
        <f>IF(SUMIF($Z:$Z,$AK23,AH:AH)=0,"",SUMIF($Z:$Z,$AK23,AH:AH)/$AP23)</f>
        <v>4.008113540401685</v>
      </c>
      <c r="AP23" s="288">
        <f>SUMIF(E$5:E$104,AK23,P$5:P$104)/N$1</f>
        <v>4</v>
      </c>
      <c r="AQ23" s="287">
        <f t="shared" si="15"/>
        <v>9.8069719588124968</v>
      </c>
      <c r="AR23" s="265">
        <v>19</v>
      </c>
    </row>
    <row r="24" spans="1:44" x14ac:dyDescent="0.25">
      <c r="A24" s="232">
        <v>2</v>
      </c>
      <c r="B24" s="232" t="s">
        <v>86</v>
      </c>
      <c r="C24" s="232">
        <v>1</v>
      </c>
      <c r="D24" s="232" t="s">
        <v>255</v>
      </c>
      <c r="E24" s="232">
        <v>23</v>
      </c>
      <c r="F24" s="232" t="s">
        <v>169</v>
      </c>
      <c r="G24" s="272"/>
      <c r="H24" s="273">
        <v>1.7580859661102295</v>
      </c>
      <c r="I24" s="273">
        <v>4.7771801948547363</v>
      </c>
      <c r="J24" s="273">
        <v>2.0341064929962158</v>
      </c>
      <c r="K24" s="274">
        <f>IF(AND(H24&gt;=H$3, H24&lt;=H$4),1,0)</f>
        <v>1</v>
      </c>
      <c r="L24" s="274">
        <f>IF(AND(I24&gt;=I$3, I24&lt;=I$4),1,0)</f>
        <v>1</v>
      </c>
      <c r="M24" s="274">
        <f>IF(AND(J24&gt;=J$3, J24&lt;=J$4),1,0)</f>
        <v>1</v>
      </c>
      <c r="N24" s="275">
        <f>SUM(K24:M24)</f>
        <v>3</v>
      </c>
      <c r="O24" s="274">
        <f>IF(COUNT(H24:J24)&lt;N$1,0,1)</f>
        <v>1</v>
      </c>
      <c r="P24" s="276">
        <f t="shared" si="3"/>
        <v>3</v>
      </c>
      <c r="Q24" s="277">
        <f t="shared" si="4"/>
        <v>8.5693726539611816</v>
      </c>
      <c r="R24"/>
      <c r="S24"/>
      <c r="X24"/>
      <c r="Y24"/>
      <c r="Z24" s="283">
        <f t="shared" si="9"/>
        <v>23</v>
      </c>
      <c r="AA24" s="283">
        <f t="shared" si="10"/>
        <v>2</v>
      </c>
      <c r="AB24" s="283" t="str">
        <f t="shared" si="11"/>
        <v>Chu Vanallen</v>
      </c>
      <c r="AC24" s="283">
        <f t="shared" si="12"/>
        <v>1</v>
      </c>
      <c r="AD24" s="283" t="str">
        <f t="shared" si="13"/>
        <v>H</v>
      </c>
      <c r="AE24" s="284"/>
      <c r="AF24" s="285">
        <f>IF(AND(LEN(H24)&gt;0,$O24=1),H24*VLOOKUP($AA24,$S:$X,6,FALSE),"")</f>
        <v>2.0961614419139774</v>
      </c>
      <c r="AG24" s="285">
        <f>IF(AND(LEN(I24)&gt;0,$O24=1),I24*VLOOKUP($AA24,$S:$X,6,FALSE),"")</f>
        <v>5.6958198396208299</v>
      </c>
      <c r="AH24" s="285">
        <f>IF(AND(LEN(J24)&gt;0,$O24=1),J24*VLOOKUP($AA24,$S:$X,6,FALSE),"")</f>
        <v>2.425260016607286</v>
      </c>
      <c r="AI24" s="285">
        <f t="shared" si="14"/>
        <v>10.217241298142094</v>
      </c>
      <c r="AK24" s="286">
        <v>24</v>
      </c>
      <c r="AL24" s="286" t="str">
        <f>IF(AK24&gt;0,VLOOKUP(AK24,E:F,2,FALSE),"")</f>
        <v>Project 24</v>
      </c>
      <c r="AM24" s="287">
        <f>IF(SUMIF($Z:$Z,$AK24,AF:AF)=0,"",SUMIF($Z:$Z,$AK24,AF:AF)/$AP24)</f>
        <v>4.2106852236030949</v>
      </c>
      <c r="AN24" s="287">
        <f>IF(SUMIF($Z:$Z,$AK24,AG:AG)=0,"",SUMIF($Z:$Z,$AK24,AG:AG)/$AP24)</f>
        <v>4.058061438667437</v>
      </c>
      <c r="AO24" s="287">
        <f>IF(SUMIF($Z:$Z,$AK24,AH:AH)=0,"",SUMIF($Z:$Z,$AK24,AH:AH)/$AP24)</f>
        <v>3.6971292525751887</v>
      </c>
      <c r="AP24" s="288">
        <f>SUMIF(E$5:E$104,AK24,P$5:P$104)/N$1</f>
        <v>4</v>
      </c>
      <c r="AQ24" s="287">
        <f t="shared" si="15"/>
        <v>11.965875914845721</v>
      </c>
      <c r="AR24" s="265">
        <v>20</v>
      </c>
    </row>
    <row r="25" spans="1:44" x14ac:dyDescent="0.25">
      <c r="A25" s="232">
        <v>3</v>
      </c>
      <c r="B25" s="232" t="s">
        <v>90</v>
      </c>
      <c r="C25" s="232">
        <v>4</v>
      </c>
      <c r="D25" s="232" t="s">
        <v>253</v>
      </c>
      <c r="E25" s="232">
        <v>1</v>
      </c>
      <c r="F25" s="232" t="s">
        <v>81</v>
      </c>
      <c r="G25" s="272"/>
      <c r="H25" s="273">
        <v>1.0707006454467773</v>
      </c>
      <c r="I25" s="273">
        <v>2.2887990474700928</v>
      </c>
      <c r="J25" s="273">
        <v>3.4008612632751465</v>
      </c>
      <c r="K25" s="274">
        <f>IF(AND(H25&gt;=H$3, H25&lt;=H$4),1,0)</f>
        <v>1</v>
      </c>
      <c r="L25" s="274">
        <f>IF(AND(I25&gt;=I$3, I25&lt;=I$4),1,0)</f>
        <v>1</v>
      </c>
      <c r="M25" s="274">
        <f>IF(AND(J25&gt;=J$3, J25&lt;=J$4),1,0)</f>
        <v>1</v>
      </c>
      <c r="N25" s="275">
        <f>SUM(K25:M25)</f>
        <v>3</v>
      </c>
      <c r="O25" s="274">
        <f>IF(COUNT(H25:J25)&lt;N$1,0,1)</f>
        <v>1</v>
      </c>
      <c r="P25" s="276">
        <f t="shared" si="3"/>
        <v>3</v>
      </c>
      <c r="Q25" s="277">
        <f t="shared" si="4"/>
        <v>6.7603609561920166</v>
      </c>
      <c r="R25"/>
      <c r="S25"/>
      <c r="X25"/>
      <c r="Y25"/>
      <c r="Z25" s="283">
        <f t="shared" si="9"/>
        <v>1</v>
      </c>
      <c r="AA25" s="283">
        <f t="shared" si="10"/>
        <v>3</v>
      </c>
      <c r="AB25" s="283" t="str">
        <f t="shared" si="11"/>
        <v>Yetta Cisneros</v>
      </c>
      <c r="AC25" s="283">
        <f t="shared" si="12"/>
        <v>4</v>
      </c>
      <c r="AD25" s="283" t="str">
        <f t="shared" si="13"/>
        <v>L</v>
      </c>
      <c r="AE25" s="284"/>
      <c r="AF25" s="285">
        <f>IF(AND(LEN(H25)&gt;0,$O25=1),H25*VLOOKUP($AA25,$S:$X,6,FALSE),"")</f>
        <v>1.3792708827433748</v>
      </c>
      <c r="AG25" s="285">
        <f>IF(AND(LEN(I25)&gt;0,$O25=1),I25*VLOOKUP($AA25,$S:$X,6,FALSE),"")</f>
        <v>2.9484187723721638</v>
      </c>
      <c r="AH25" s="285">
        <f>IF(AND(LEN(J25)&gt;0,$O25=1),J25*VLOOKUP($AA25,$S:$X,6,FALSE),"")</f>
        <v>4.3809714102936228</v>
      </c>
      <c r="AI25" s="285">
        <f t="shared" si="14"/>
        <v>8.7086610654091601</v>
      </c>
      <c r="AK25" s="286">
        <v>9</v>
      </c>
      <c r="AL25" s="286" t="str">
        <f>IF(AK25&gt;0,VLOOKUP(AK25,E:F,2,FALSE),"")</f>
        <v>Project 9</v>
      </c>
      <c r="AM25" s="287">
        <f>IF(SUMIF($Z:$Z,$AK25,AF:AF)=0,"",SUMIF($Z:$Z,$AK25,AF:AF)/$AP25)</f>
        <v>3.1865456817594979</v>
      </c>
      <c r="AN25" s="287">
        <f>IF(SUMIF($Z:$Z,$AK25,AG:AG)=0,"",SUMIF($Z:$Z,$AK25,AG:AG)/$AP25)</f>
        <v>2.3001248972390123</v>
      </c>
      <c r="AO25" s="287">
        <f>IF(SUMIF($Z:$Z,$AK25,AH:AH)=0,"",SUMIF($Z:$Z,$AK25,AH:AH)/$AP25)</f>
        <v>3.6020484485762734</v>
      </c>
      <c r="AP25" s="288">
        <f>SUMIF(E$5:E$104,AK25,P$5:P$104)/N$1</f>
        <v>3</v>
      </c>
      <c r="AQ25" s="287">
        <f t="shared" si="15"/>
        <v>9.0887190275747827</v>
      </c>
      <c r="AR25" s="265">
        <v>21</v>
      </c>
    </row>
    <row r="26" spans="1:44" x14ac:dyDescent="0.25">
      <c r="A26" s="232">
        <v>3</v>
      </c>
      <c r="B26" s="232" t="s">
        <v>90</v>
      </c>
      <c r="C26" s="232">
        <v>3</v>
      </c>
      <c r="D26" s="232" t="s">
        <v>253</v>
      </c>
      <c r="E26" s="232">
        <v>5</v>
      </c>
      <c r="F26" s="232" t="s">
        <v>97</v>
      </c>
      <c r="G26" s="272"/>
      <c r="H26" s="273">
        <v>2.5156023502349854</v>
      </c>
      <c r="I26" s="273">
        <v>3.5685958862304688</v>
      </c>
      <c r="J26" s="273">
        <v>3.9679648876190186</v>
      </c>
      <c r="K26" s="274">
        <f>IF(AND(H26&gt;=H$3, H26&lt;=H$4),1,0)</f>
        <v>1</v>
      </c>
      <c r="L26" s="274">
        <f>IF(AND(I26&gt;=I$3, I26&lt;=I$4),1,0)</f>
        <v>1</v>
      </c>
      <c r="M26" s="274">
        <f>IF(AND(J26&gt;=J$3, J26&lt;=J$4),1,0)</f>
        <v>1</v>
      </c>
      <c r="N26" s="275">
        <f>SUM(K26:M26)</f>
        <v>3</v>
      </c>
      <c r="O26" s="274">
        <f>IF(COUNT(H26:J26)&lt;N$1,0,1)</f>
        <v>1</v>
      </c>
      <c r="P26" s="276">
        <f t="shared" si="3"/>
        <v>3</v>
      </c>
      <c r="Q26" s="277">
        <f t="shared" si="4"/>
        <v>10.052163124084473</v>
      </c>
      <c r="R26"/>
      <c r="S26"/>
      <c r="X26"/>
      <c r="Y26"/>
      <c r="Z26" s="283">
        <f t="shared" si="9"/>
        <v>5</v>
      </c>
      <c r="AA26" s="283">
        <f t="shared" si="10"/>
        <v>3</v>
      </c>
      <c r="AB26" s="283" t="str">
        <f t="shared" si="11"/>
        <v>Yetta Cisneros</v>
      </c>
      <c r="AC26" s="283">
        <f t="shared" si="12"/>
        <v>3</v>
      </c>
      <c r="AD26" s="283" t="str">
        <f t="shared" si="13"/>
        <v>L</v>
      </c>
      <c r="AE26" s="284"/>
      <c r="AF26" s="285">
        <f>IF(AND(LEN(H26)&gt;0,$O26=1),H26*VLOOKUP($AA26,$S:$X,6,FALSE),"")</f>
        <v>3.2405855819691753</v>
      </c>
      <c r="AG26" s="285">
        <f>IF(AND(LEN(I26)&gt;0,$O26=1),I26*VLOOKUP($AA26,$S:$X,6,FALSE),"")</f>
        <v>4.5970462603967315</v>
      </c>
      <c r="AH26" s="285">
        <f>IF(AND(LEN(J26)&gt;0,$O26=1),J26*VLOOKUP($AA26,$S:$X,6,FALSE),"")</f>
        <v>5.1115112861048972</v>
      </c>
      <c r="AI26" s="285">
        <f t="shared" si="14"/>
        <v>12.949143128470805</v>
      </c>
      <c r="AK26" s="286">
        <v>16</v>
      </c>
      <c r="AL26" s="286" t="str">
        <f>IF(AK26&gt;0,VLOOKUP(AK26,E:F,2,FALSE),"")</f>
        <v>Project 16</v>
      </c>
      <c r="AM26" s="287">
        <f>IF(SUMIF($Z:$Z,$AK26,AF:AF)=0,"",SUMIF($Z:$Z,$AK26,AF:AF)/$AP26)</f>
        <v>2.9613427367029104</v>
      </c>
      <c r="AN26" s="287">
        <f>IF(SUMIF($Z:$Z,$AK26,AG:AG)=0,"",SUMIF($Z:$Z,$AK26,AG:AG)/$AP26)</f>
        <v>3.4886001864892791</v>
      </c>
      <c r="AO26" s="287">
        <f>IF(SUMIF($Z:$Z,$AK26,AH:AH)=0,"",SUMIF($Z:$Z,$AK26,AH:AH)/$AP26)</f>
        <v>3.6310227891846556</v>
      </c>
      <c r="AP26" s="288">
        <f>SUMIF(E$5:E$104,AK26,P$5:P$104)/N$1</f>
        <v>3</v>
      </c>
      <c r="AQ26" s="287">
        <f t="shared" si="15"/>
        <v>10.080965712376845</v>
      </c>
      <c r="AR26" s="265">
        <v>22</v>
      </c>
    </row>
    <row r="27" spans="1:44" x14ac:dyDescent="0.25">
      <c r="A27" s="232">
        <v>3</v>
      </c>
      <c r="B27" s="232" t="s">
        <v>90</v>
      </c>
      <c r="C27" s="232">
        <v>3</v>
      </c>
      <c r="D27" s="232" t="s">
        <v>254</v>
      </c>
      <c r="E27" s="232">
        <v>11</v>
      </c>
      <c r="F27" s="232" t="s">
        <v>121</v>
      </c>
      <c r="G27" s="272"/>
      <c r="H27" s="273">
        <v>3.8448090553283691</v>
      </c>
      <c r="I27" s="273">
        <v>1.7394230365753174</v>
      </c>
      <c r="J27" s="273">
        <v>1.2301416397094727</v>
      </c>
      <c r="K27" s="274">
        <f>IF(AND(H27&gt;=H$3, H27&lt;=H$4),1,0)</f>
        <v>1</v>
      </c>
      <c r="L27" s="274">
        <f>IF(AND(I27&gt;=I$3, I27&lt;=I$4),1,0)</f>
        <v>1</v>
      </c>
      <c r="M27" s="274">
        <f>IF(AND(J27&gt;=J$3, J27&lt;=J$4),1,0)</f>
        <v>1</v>
      </c>
      <c r="N27" s="275">
        <f>SUM(K27:M27)</f>
        <v>3</v>
      </c>
      <c r="O27" s="274">
        <f>IF(COUNT(H27:J27)&lt;N$1,0,1)</f>
        <v>1</v>
      </c>
      <c r="P27" s="276">
        <f t="shared" si="3"/>
        <v>3</v>
      </c>
      <c r="Q27" s="277">
        <f t="shared" si="4"/>
        <v>6.8143737316131592</v>
      </c>
      <c r="R27"/>
      <c r="S27"/>
      <c r="X27"/>
      <c r="Y27"/>
      <c r="Z27" s="283">
        <f t="shared" si="9"/>
        <v>11</v>
      </c>
      <c r="AA27" s="283">
        <f t="shared" si="10"/>
        <v>3</v>
      </c>
      <c r="AB27" s="283" t="str">
        <f t="shared" si="11"/>
        <v>Yetta Cisneros</v>
      </c>
      <c r="AC27" s="283">
        <f t="shared" si="12"/>
        <v>3</v>
      </c>
      <c r="AD27" s="283" t="str">
        <f t="shared" si="13"/>
        <v>M</v>
      </c>
      <c r="AE27" s="284"/>
      <c r="AF27" s="285">
        <f>IF(AND(LEN(H27)&gt;0,$O27=1),H27*VLOOKUP($AA27,$S:$X,6,FALSE),"")</f>
        <v>4.9528625972852138</v>
      </c>
      <c r="AG27" s="285">
        <f>IF(AND(LEN(I27)&gt;0,$O27=1),I27*VLOOKUP($AA27,$S:$X,6,FALSE),"")</f>
        <v>2.2407155140177379</v>
      </c>
      <c r="AH27" s="285">
        <f>IF(AND(LEN(J27)&gt;0,$O27=1),J27*VLOOKUP($AA27,$S:$X,6,FALSE),"")</f>
        <v>1.5846619244293776</v>
      </c>
      <c r="AI27" s="285">
        <f t="shared" si="14"/>
        <v>8.7782400357323294</v>
      </c>
      <c r="AK27" s="286">
        <v>21</v>
      </c>
      <c r="AL27" s="286" t="str">
        <f>IF(AK27&gt;0,VLOOKUP(AK27,E:F,2,FALSE),"")</f>
        <v>Project 21</v>
      </c>
      <c r="AM27" s="287">
        <f>IF(SUMIF($Z:$Z,$AK27,AF:AF)=0,"",SUMIF($Z:$Z,$AK27,AF:AF)/$AP27)</f>
        <v>3.2162232269627027</v>
      </c>
      <c r="AN27" s="287">
        <f>IF(SUMIF($Z:$Z,$AK27,AG:AG)=0,"",SUMIF($Z:$Z,$AK27,AG:AG)/$AP27)</f>
        <v>4.7400486577925411</v>
      </c>
      <c r="AO27" s="287">
        <f>IF(SUMIF($Z:$Z,$AK27,AH:AH)=0,"",SUMIF($Z:$Z,$AK27,AH:AH)/$AP27)</f>
        <v>3.2775344883792479</v>
      </c>
      <c r="AP27" s="288">
        <f>SUMIF(E$5:E$104,AK27,P$5:P$104)/N$1</f>
        <v>3</v>
      </c>
      <c r="AQ27" s="287">
        <f t="shared" si="15"/>
        <v>11.233806373134492</v>
      </c>
      <c r="AR27" s="265">
        <v>23</v>
      </c>
    </row>
    <row r="28" spans="1:44" x14ac:dyDescent="0.25">
      <c r="A28" s="232">
        <v>3</v>
      </c>
      <c r="B28" s="232" t="s">
        <v>90</v>
      </c>
      <c r="C28" s="232">
        <v>1</v>
      </c>
      <c r="D28" s="232" t="s">
        <v>255</v>
      </c>
      <c r="E28" s="232">
        <v>12</v>
      </c>
      <c r="F28" s="232" t="s">
        <v>125</v>
      </c>
      <c r="G28" s="272"/>
      <c r="H28" s="273">
        <v>1.9843041896820068</v>
      </c>
      <c r="I28" s="273">
        <v>1.7928614616394043</v>
      </c>
      <c r="J28" s="273">
        <v>4.9040548801422119</v>
      </c>
      <c r="K28" s="274">
        <f>IF(AND(H28&gt;=H$3, H28&lt;=H$4),1,0)</f>
        <v>1</v>
      </c>
      <c r="L28" s="274">
        <f>IF(AND(I28&gt;=I$3, I28&lt;=I$4),1,0)</f>
        <v>1</v>
      </c>
      <c r="M28" s="274">
        <f>IF(AND(J28&gt;=J$3, J28&lt;=J$4),1,0)</f>
        <v>1</v>
      </c>
      <c r="N28" s="275">
        <f>SUM(K28:M28)</f>
        <v>3</v>
      </c>
      <c r="O28" s="274">
        <f>IF(COUNT(H28:J28)&lt;N$1,0,1)</f>
        <v>1</v>
      </c>
      <c r="P28" s="276">
        <f t="shared" si="3"/>
        <v>3</v>
      </c>
      <c r="Q28" s="277">
        <f t="shared" si="4"/>
        <v>8.681220531463623</v>
      </c>
      <c r="R28"/>
      <c r="S28"/>
      <c r="X28"/>
      <c r="Y28"/>
      <c r="Z28" s="283">
        <f t="shared" si="9"/>
        <v>12</v>
      </c>
      <c r="AA28" s="283">
        <f t="shared" si="10"/>
        <v>3</v>
      </c>
      <c r="AB28" s="283" t="str">
        <f t="shared" si="11"/>
        <v>Yetta Cisneros</v>
      </c>
      <c r="AC28" s="283">
        <f t="shared" si="12"/>
        <v>1</v>
      </c>
      <c r="AD28" s="283" t="str">
        <f t="shared" si="13"/>
        <v>H</v>
      </c>
      <c r="AE28" s="284"/>
      <c r="AF28" s="285">
        <f>IF(AND(LEN(H28)&gt;0,$O28=1),H28*VLOOKUP($AA28,$S:$X,6,FALSE),"")</f>
        <v>2.5561701143759374</v>
      </c>
      <c r="AG28" s="285">
        <f>IF(AND(LEN(I28)&gt;0,$O28=1),I28*VLOOKUP($AA28,$S:$X,6,FALSE),"")</f>
        <v>2.309554609262519</v>
      </c>
      <c r="AH28" s="285">
        <f>IF(AND(LEN(J28)&gt;0,$O28=1),J28*VLOOKUP($AA28,$S:$X,6,FALSE),"")</f>
        <v>6.3173774409496533</v>
      </c>
      <c r="AI28" s="285">
        <f t="shared" si="14"/>
        <v>11.18310216458811</v>
      </c>
      <c r="AK28" s="286">
        <v>25</v>
      </c>
      <c r="AL28" s="286" t="str">
        <f>IF(AK28&gt;0,VLOOKUP(AK28,E:F,2,FALSE),"")</f>
        <v>Project 25</v>
      </c>
      <c r="AM28" s="287">
        <f>IF(SUMIF($Z:$Z,$AK28,AF:AF)=0,"",SUMIF($Z:$Z,$AK28,AF:AF)/$AP28)</f>
        <v>4.8559938069417754</v>
      </c>
      <c r="AN28" s="287">
        <f>IF(SUMIF($Z:$Z,$AK28,AG:AG)=0,"",SUMIF($Z:$Z,$AK28,AG:AG)/$AP28)</f>
        <v>3.005609377458017</v>
      </c>
      <c r="AO28" s="287">
        <f>IF(SUMIF($Z:$Z,$AK28,AH:AH)=0,"",SUMIF($Z:$Z,$AK28,AH:AH)/$AP28)</f>
        <v>4.4618415088523298</v>
      </c>
      <c r="AP28" s="288">
        <f>SUMIF(E$5:E$104,AK28,P$5:P$104)/N$1</f>
        <v>3</v>
      </c>
      <c r="AQ28" s="287">
        <f t="shared" si="15"/>
        <v>12.323444693252121</v>
      </c>
      <c r="AR28" s="265">
        <v>24</v>
      </c>
    </row>
    <row r="29" spans="1:44" x14ac:dyDescent="0.25">
      <c r="A29" s="232">
        <v>3</v>
      </c>
      <c r="B29" s="232" t="s">
        <v>90</v>
      </c>
      <c r="C29" s="232">
        <v>3</v>
      </c>
      <c r="D29" s="232" t="s">
        <v>253</v>
      </c>
      <c r="E29" s="232">
        <v>18</v>
      </c>
      <c r="F29" s="232" t="s">
        <v>149</v>
      </c>
      <c r="G29" s="272"/>
      <c r="H29" s="273">
        <v>1.7098789215087891</v>
      </c>
      <c r="I29" s="273">
        <v>3.6241939067840576</v>
      </c>
      <c r="J29" s="273">
        <v>4.635887622833252</v>
      </c>
      <c r="K29" s="274">
        <f>IF(AND(H29&gt;=H$3, H29&lt;=H$4),1,0)</f>
        <v>1</v>
      </c>
      <c r="L29" s="274">
        <f>IF(AND(I29&gt;=I$3, I29&lt;=I$4),1,0)</f>
        <v>1</v>
      </c>
      <c r="M29" s="274">
        <f>IF(AND(J29&gt;=J$3, J29&lt;=J$4),1,0)</f>
        <v>1</v>
      </c>
      <c r="N29" s="275">
        <f>SUM(K29:M29)</f>
        <v>3</v>
      </c>
      <c r="O29" s="274">
        <f>IF(COUNT(H29:J29)&lt;N$1,0,1)</f>
        <v>1</v>
      </c>
      <c r="P29" s="276">
        <f t="shared" si="3"/>
        <v>3</v>
      </c>
      <c r="Q29" s="277">
        <f t="shared" si="4"/>
        <v>9.9699604511260986</v>
      </c>
      <c r="R29"/>
      <c r="S29"/>
      <c r="X29"/>
      <c r="Y29"/>
      <c r="Z29" s="283">
        <f t="shared" si="9"/>
        <v>18</v>
      </c>
      <c r="AA29" s="283">
        <f t="shared" si="10"/>
        <v>3</v>
      </c>
      <c r="AB29" s="283" t="str">
        <f t="shared" si="11"/>
        <v>Yetta Cisneros</v>
      </c>
      <c r="AC29" s="283">
        <f t="shared" si="12"/>
        <v>3</v>
      </c>
      <c r="AD29" s="283" t="str">
        <f t="shared" si="13"/>
        <v>L</v>
      </c>
      <c r="AE29" s="284"/>
      <c r="AF29" s="285">
        <f>IF(AND(LEN(H29)&gt;0,$O29=1),H29*VLOOKUP($AA29,$S:$X,6,FALSE),"")</f>
        <v>2.2026569419593653</v>
      </c>
      <c r="AG29" s="285">
        <f>IF(AND(LEN(I29)&gt;0,$O29=1),I29*VLOOKUP($AA29,$S:$X,6,FALSE),"")</f>
        <v>4.6686673350769796</v>
      </c>
      <c r="AH29" s="285">
        <f>IF(AND(LEN(J29)&gt;0,$O29=1),J29*VLOOKUP($AA29,$S:$X,6,FALSE),"")</f>
        <v>5.9719258048790884</v>
      </c>
      <c r="AI29" s="285">
        <f t="shared" si="14"/>
        <v>12.843250081915434</v>
      </c>
      <c r="AK29" s="286">
        <v>10</v>
      </c>
      <c r="AL29" s="286" t="str">
        <f>IF(AK29&gt;0,VLOOKUP(AK29,E:F,2,FALSE),"")</f>
        <v>Project 10</v>
      </c>
      <c r="AM29" s="287">
        <f>IF(SUMIF($Z:$Z,$AK29,AF:AF)=0,"",SUMIF($Z:$Z,$AK29,AF:AF)/$AP29)</f>
        <v>3.7131646966313632</v>
      </c>
      <c r="AN29" s="287">
        <f>IF(SUMIF($Z:$Z,$AK29,AG:AG)=0,"",SUMIF($Z:$Z,$AK29,AG:AG)/$AP29)</f>
        <v>1.530033643418891</v>
      </c>
      <c r="AO29" s="287">
        <f>IF(SUMIF($Z:$Z,$AK29,AH:AH)=0,"",SUMIF($Z:$Z,$AK29,AH:AH)/$AP29)</f>
        <v>5.3791887518603447</v>
      </c>
      <c r="AP29" s="288">
        <f>SUMIF(E$5:E$104,AK29,P$5:P$104)/N$1</f>
        <v>2</v>
      </c>
      <c r="AQ29" s="287">
        <f t="shared" si="15"/>
        <v>10.6223870919106</v>
      </c>
      <c r="AR29" s="265">
        <v>25</v>
      </c>
    </row>
    <row r="30" spans="1:44" x14ac:dyDescent="0.25">
      <c r="A30" s="232">
        <v>3</v>
      </c>
      <c r="B30" s="232" t="s">
        <v>90</v>
      </c>
      <c r="C30" s="232">
        <v>2</v>
      </c>
      <c r="D30" s="232" t="s">
        <v>253</v>
      </c>
      <c r="E30" s="232">
        <v>21</v>
      </c>
      <c r="F30" s="232" t="s">
        <v>161</v>
      </c>
      <c r="G30" s="272"/>
      <c r="H30" s="273">
        <v>2.0868904590606689</v>
      </c>
      <c r="I30" s="273">
        <v>2.025629997253418</v>
      </c>
      <c r="J30" s="273">
        <v>4.0841672420501709</v>
      </c>
      <c r="K30" s="274">
        <f>IF(AND(H30&gt;=H$3, H30&lt;=H$4),1,0)</f>
        <v>1</v>
      </c>
      <c r="L30" s="274">
        <f>IF(AND(I30&gt;=I$3, I30&lt;=I$4),1,0)</f>
        <v>1</v>
      </c>
      <c r="M30" s="274">
        <f>IF(AND(J30&gt;=J$3, J30&lt;=J$4),1,0)</f>
        <v>1</v>
      </c>
      <c r="N30" s="275">
        <f>SUM(K30:M30)</f>
        <v>3</v>
      </c>
      <c r="O30" s="274">
        <f>IF(COUNT(H30:J30)&lt;N$1,0,1)</f>
        <v>1</v>
      </c>
      <c r="P30" s="276">
        <f t="shared" si="3"/>
        <v>3</v>
      </c>
      <c r="Q30" s="277">
        <f t="shared" si="4"/>
        <v>8.1966876983642578</v>
      </c>
      <c r="R30"/>
      <c r="S30"/>
      <c r="X30"/>
      <c r="Y30"/>
      <c r="Z30" s="283">
        <f t="shared" si="9"/>
        <v>21</v>
      </c>
      <c r="AA30" s="283">
        <f t="shared" si="10"/>
        <v>3</v>
      </c>
      <c r="AB30" s="283" t="str">
        <f t="shared" si="11"/>
        <v>Yetta Cisneros</v>
      </c>
      <c r="AC30" s="283">
        <f t="shared" si="12"/>
        <v>2</v>
      </c>
      <c r="AD30" s="283" t="str">
        <f t="shared" si="13"/>
        <v>L</v>
      </c>
      <c r="AE30" s="284"/>
      <c r="AF30" s="285">
        <f>IF(AND(LEN(H30)&gt;0,$O30=1),H30*VLOOKUP($AA30,$S:$X,6,FALSE),"")</f>
        <v>2.6883212015401883</v>
      </c>
      <c r="AG30" s="285">
        <f>IF(AND(LEN(I30)&gt;0,$O30=1),I30*VLOOKUP($AA30,$S:$X,6,FALSE),"")</f>
        <v>2.6094058001219924</v>
      </c>
      <c r="AH30" s="285">
        <f>IF(AND(LEN(J30)&gt;0,$O30=1),J30*VLOOKUP($AA30,$S:$X,6,FALSE),"")</f>
        <v>5.2612025416903787</v>
      </c>
      <c r="AI30" s="285">
        <f t="shared" si="14"/>
        <v>10.558929543352559</v>
      </c>
      <c r="AL30"/>
    </row>
    <row r="31" spans="1:44" x14ac:dyDescent="0.25">
      <c r="A31" s="232">
        <v>3</v>
      </c>
      <c r="B31" s="232" t="s">
        <v>90</v>
      </c>
      <c r="C31" s="232">
        <v>4</v>
      </c>
      <c r="D31" s="232" t="s">
        <v>253</v>
      </c>
      <c r="E31" s="232">
        <v>24</v>
      </c>
      <c r="F31" s="232" t="s">
        <v>173</v>
      </c>
      <c r="G31" s="272"/>
      <c r="H31" s="273">
        <v>4.0342879295349121</v>
      </c>
      <c r="I31" s="273">
        <v>2.5567286014556885</v>
      </c>
      <c r="J31" s="273">
        <v>1.6209983825683594</v>
      </c>
      <c r="K31" s="274">
        <f>IF(AND(H31&gt;=H$3, H31&lt;=H$4),1,0)</f>
        <v>1</v>
      </c>
      <c r="L31" s="274">
        <f>IF(AND(I31&gt;=I$3, I31&lt;=I$4),1,0)</f>
        <v>1</v>
      </c>
      <c r="M31" s="274">
        <f>IF(AND(J31&gt;=J$3, J31&lt;=J$4),1,0)</f>
        <v>1</v>
      </c>
      <c r="N31" s="275">
        <f>SUM(K31:M31)</f>
        <v>3</v>
      </c>
      <c r="O31" s="274">
        <f>IF(COUNT(H31:J31)&lt;N$1,0,1)</f>
        <v>1</v>
      </c>
      <c r="P31" s="276">
        <f t="shared" si="3"/>
        <v>3</v>
      </c>
      <c r="Q31" s="277">
        <f t="shared" si="4"/>
        <v>8.21201491355896</v>
      </c>
      <c r="R31"/>
      <c r="S31"/>
      <c r="X31"/>
      <c r="Y31"/>
      <c r="Z31" s="283">
        <f t="shared" si="9"/>
        <v>24</v>
      </c>
      <c r="AA31" s="283">
        <f t="shared" si="10"/>
        <v>3</v>
      </c>
      <c r="AB31" s="283" t="str">
        <f t="shared" si="11"/>
        <v>Yetta Cisneros</v>
      </c>
      <c r="AC31" s="283">
        <f t="shared" si="12"/>
        <v>4</v>
      </c>
      <c r="AD31" s="283" t="str">
        <f t="shared" si="13"/>
        <v>L</v>
      </c>
      <c r="AE31" s="284"/>
      <c r="AF31" s="285">
        <f>IF(AND(LEN(H31)&gt;0,$O31=1),H31*VLOOKUP($AA31,$S:$X,6,FALSE),"")</f>
        <v>5.1969482763211392</v>
      </c>
      <c r="AG31" s="285">
        <f>IF(AND(LEN(I31)&gt;0,$O31=1),I31*VLOOKUP($AA31,$S:$X,6,FALSE),"")</f>
        <v>3.293564200284508</v>
      </c>
      <c r="AH31" s="285">
        <f>IF(AND(LEN(J31)&gt;0,$O31=1),J31*VLOOKUP($AA31,$S:$X,6,FALSE),"")</f>
        <v>2.0881615039259649</v>
      </c>
      <c r="AI31" s="285">
        <f t="shared" si="14"/>
        <v>10.578673980531613</v>
      </c>
      <c r="AL31"/>
    </row>
    <row r="32" spans="1:44" x14ac:dyDescent="0.25">
      <c r="A32" s="232">
        <v>4</v>
      </c>
      <c r="B32" s="232" t="s">
        <v>94</v>
      </c>
      <c r="C32" s="232">
        <v>4</v>
      </c>
      <c r="D32" s="232" t="s">
        <v>253</v>
      </c>
      <c r="E32" s="232">
        <v>2</v>
      </c>
      <c r="F32" s="232" t="s">
        <v>85</v>
      </c>
      <c r="G32" s="272"/>
      <c r="H32" s="273">
        <v>3.2834136486053467</v>
      </c>
      <c r="I32" s="273">
        <v>1.4804940223693848</v>
      </c>
      <c r="J32" s="273">
        <v>2.0862743854522705</v>
      </c>
      <c r="K32" s="274">
        <f>IF(AND(H32&gt;=H$3, H32&lt;=H$4),1,0)</f>
        <v>1</v>
      </c>
      <c r="L32" s="274">
        <f>IF(AND(I32&gt;=I$3, I32&lt;=I$4),1,0)</f>
        <v>1</v>
      </c>
      <c r="M32" s="274">
        <f>IF(AND(J32&gt;=J$3, J32&lt;=J$4),1,0)</f>
        <v>1</v>
      </c>
      <c r="N32" s="275">
        <f>SUM(K32:M32)</f>
        <v>3</v>
      </c>
      <c r="O32" s="274">
        <f>IF(COUNT(H32:J32)&lt;N$1,0,1)</f>
        <v>1</v>
      </c>
      <c r="P32" s="276">
        <f t="shared" si="3"/>
        <v>3</v>
      </c>
      <c r="Q32" s="277">
        <f t="shared" si="4"/>
        <v>6.850182056427002</v>
      </c>
      <c r="R32"/>
      <c r="S32"/>
      <c r="X32"/>
      <c r="Y32"/>
      <c r="Z32" s="283">
        <f t="shared" si="9"/>
        <v>2</v>
      </c>
      <c r="AA32" s="283">
        <f t="shared" si="10"/>
        <v>4</v>
      </c>
      <c r="AB32" s="283" t="str">
        <f t="shared" si="11"/>
        <v>Henriette Wilford</v>
      </c>
      <c r="AC32" s="283">
        <f t="shared" si="12"/>
        <v>4</v>
      </c>
      <c r="AD32" s="283" t="str">
        <f t="shared" si="13"/>
        <v>L</v>
      </c>
      <c r="AE32" s="284"/>
      <c r="AF32" s="285">
        <f>IF(AND(LEN(H32)&gt;0,$O32=1),H32*VLOOKUP($AA32,$S:$X,6,FALSE),"")</f>
        <v>3.8790798212291282</v>
      </c>
      <c r="AG32" s="285">
        <f>IF(AND(LEN(I32)&gt;0,$O32=1),I32*VLOOKUP($AA32,$S:$X,6,FALSE),"")</f>
        <v>1.7490804090623144</v>
      </c>
      <c r="AH32" s="285">
        <f>IF(AND(LEN(J32)&gt;0,$O32=1),J32*VLOOKUP($AA32,$S:$X,6,FALSE),"")</f>
        <v>2.4647594656837062</v>
      </c>
      <c r="AI32" s="285">
        <f t="shared" si="14"/>
        <v>8.0929196959751479</v>
      </c>
      <c r="AL32"/>
    </row>
    <row r="33" spans="1:38" x14ac:dyDescent="0.25">
      <c r="A33" s="232">
        <v>4</v>
      </c>
      <c r="B33" s="232" t="s">
        <v>94</v>
      </c>
      <c r="C33" s="232">
        <v>2</v>
      </c>
      <c r="D33" s="232" t="s">
        <v>253</v>
      </c>
      <c r="E33" s="232">
        <v>5</v>
      </c>
      <c r="F33" s="232" t="s">
        <v>97</v>
      </c>
      <c r="G33" s="272"/>
      <c r="H33" s="273">
        <v>4.4278688430786133</v>
      </c>
      <c r="I33" s="273">
        <v>3.676278829574585</v>
      </c>
      <c r="J33" s="273">
        <v>2.8614687919616699</v>
      </c>
      <c r="K33" s="274">
        <f>IF(AND(H33&gt;=H$3, H33&lt;=H$4),1,0)</f>
        <v>1</v>
      </c>
      <c r="L33" s="274">
        <f>IF(AND(I33&gt;=I$3, I33&lt;=I$4),1,0)</f>
        <v>1</v>
      </c>
      <c r="M33" s="274">
        <f>IF(AND(J33&gt;=J$3, J33&lt;=J$4),1,0)</f>
        <v>1</v>
      </c>
      <c r="N33" s="275">
        <f>SUM(K33:M33)</f>
        <v>3</v>
      </c>
      <c r="O33" s="274">
        <f>IF(COUNT(H33:J33)&lt;N$1,0,1)</f>
        <v>1</v>
      </c>
      <c r="P33" s="276">
        <f t="shared" si="3"/>
        <v>3</v>
      </c>
      <c r="Q33" s="277">
        <f t="shared" si="4"/>
        <v>10.965616464614868</v>
      </c>
      <c r="R33"/>
      <c r="S33"/>
      <c r="X33"/>
      <c r="Y33"/>
      <c r="Z33" s="283">
        <f t="shared" si="9"/>
        <v>5</v>
      </c>
      <c r="AA33" s="283">
        <f t="shared" si="10"/>
        <v>4</v>
      </c>
      <c r="AB33" s="283" t="str">
        <f t="shared" si="11"/>
        <v>Henriette Wilford</v>
      </c>
      <c r="AC33" s="283">
        <f t="shared" si="12"/>
        <v>2</v>
      </c>
      <c r="AD33" s="283" t="str">
        <f t="shared" si="13"/>
        <v>L</v>
      </c>
      <c r="AE33" s="284"/>
      <c r="AF33" s="285">
        <f>IF(AND(LEN(H33)&gt;0,$O33=1),H33*VLOOKUP($AA33,$S:$X,6,FALSE),"")</f>
        <v>5.2311583365474119</v>
      </c>
      <c r="AG33" s="285">
        <f>IF(AND(LEN(I33)&gt;0,$O33=1),I33*VLOOKUP($AA33,$S:$X,6,FALSE),"")</f>
        <v>4.3432173192896038</v>
      </c>
      <c r="AH33" s="285">
        <f>IF(AND(LEN(J33)&gt;0,$O33=1),J33*VLOOKUP($AA33,$S:$X,6,FALSE),"")</f>
        <v>3.3805871077773433</v>
      </c>
      <c r="AI33" s="285">
        <f t="shared" si="14"/>
        <v>12.954962763614359</v>
      </c>
      <c r="AL33"/>
    </row>
    <row r="34" spans="1:38" x14ac:dyDescent="0.25">
      <c r="A34" s="232">
        <v>4</v>
      </c>
      <c r="B34" s="232" t="s">
        <v>94</v>
      </c>
      <c r="C34" s="232">
        <v>2</v>
      </c>
      <c r="D34" s="232" t="s">
        <v>254</v>
      </c>
      <c r="E34" s="232">
        <v>6</v>
      </c>
      <c r="F34" s="232" t="s">
        <v>101</v>
      </c>
      <c r="G34" s="272"/>
      <c r="H34" s="273">
        <v>3.264639139175415</v>
      </c>
      <c r="I34" s="273">
        <v>1.9289073944091797</v>
      </c>
      <c r="J34" s="273">
        <v>1.0647647380828857</v>
      </c>
      <c r="K34" s="274">
        <f>IF(AND(H34&gt;=H$3, H34&lt;=H$4),1,0)</f>
        <v>1</v>
      </c>
      <c r="L34" s="274">
        <f>IF(AND(I34&gt;=I$3, I34&lt;=I$4),1,0)</f>
        <v>1</v>
      </c>
      <c r="M34" s="274">
        <f>IF(AND(J34&gt;=J$3, J34&lt;=J$4),1,0)</f>
        <v>1</v>
      </c>
      <c r="N34" s="275">
        <f>SUM(K34:M34)</f>
        <v>3</v>
      </c>
      <c r="O34" s="274">
        <f>IF(COUNT(H34:J34)&lt;N$1,0,1)</f>
        <v>1</v>
      </c>
      <c r="P34" s="276">
        <f t="shared" si="3"/>
        <v>3</v>
      </c>
      <c r="Q34" s="277">
        <f t="shared" si="4"/>
        <v>6.2583112716674805</v>
      </c>
      <c r="R34"/>
      <c r="S34"/>
      <c r="X34"/>
      <c r="Y34"/>
      <c r="Z34" s="283">
        <f t="shared" si="9"/>
        <v>6</v>
      </c>
      <c r="AA34" s="283">
        <f t="shared" si="10"/>
        <v>4</v>
      </c>
      <c r="AB34" s="283" t="str">
        <f t="shared" si="11"/>
        <v>Henriette Wilford</v>
      </c>
      <c r="AC34" s="283">
        <f t="shared" si="12"/>
        <v>2</v>
      </c>
      <c r="AD34" s="283" t="str">
        <f t="shared" si="13"/>
        <v>M</v>
      </c>
      <c r="AE34" s="284"/>
      <c r="AF34" s="285">
        <f>IF(AND(LEN(H34)&gt;0,$O34=1),H34*VLOOKUP($AA34,$S:$X,6,FALSE),"")</f>
        <v>3.856899301661008</v>
      </c>
      <c r="AG34" s="285">
        <f>IF(AND(LEN(I34)&gt;0,$O34=1),I34*VLOOKUP($AA34,$S:$X,6,FALSE),"")</f>
        <v>2.278843469463709</v>
      </c>
      <c r="AH34" s="285">
        <f>IF(AND(LEN(J34)&gt;0,$O34=1),J34*VLOOKUP($AA34,$S:$X,6,FALSE),"")</f>
        <v>1.2579308767897757</v>
      </c>
      <c r="AI34" s="285">
        <f t="shared" si="14"/>
        <v>7.3936736479144924</v>
      </c>
      <c r="AL34"/>
    </row>
    <row r="35" spans="1:38" x14ac:dyDescent="0.25">
      <c r="A35" s="232">
        <v>4</v>
      </c>
      <c r="B35" s="232" t="s">
        <v>94</v>
      </c>
      <c r="C35" s="232">
        <v>3</v>
      </c>
      <c r="D35" s="232" t="s">
        <v>253</v>
      </c>
      <c r="E35" s="232">
        <v>8</v>
      </c>
      <c r="F35" s="232" t="s">
        <v>109</v>
      </c>
      <c r="G35" s="272"/>
      <c r="H35" s="273">
        <v>2.0212063789367676</v>
      </c>
      <c r="I35" s="273">
        <v>4.8098404407501221</v>
      </c>
      <c r="J35" s="273">
        <v>1.2200613021850586</v>
      </c>
      <c r="K35" s="274">
        <f>IF(AND(H35&gt;=H$3, H35&lt;=H$4),1,0)</f>
        <v>1</v>
      </c>
      <c r="L35" s="274">
        <f>IF(AND(I35&gt;=I$3, I35&lt;=I$4),1,0)</f>
        <v>1</v>
      </c>
      <c r="M35" s="274">
        <f>IF(AND(J35&gt;=J$3, J35&lt;=J$4),1,0)</f>
        <v>1</v>
      </c>
      <c r="N35" s="275">
        <f>SUM(K35:M35)</f>
        <v>3</v>
      </c>
      <c r="O35" s="274">
        <f>IF(COUNT(H35:J35)&lt;N$1,0,1)</f>
        <v>1</v>
      </c>
      <c r="P35" s="276">
        <f t="shared" si="3"/>
        <v>3</v>
      </c>
      <c r="Q35" s="277">
        <f t="shared" si="4"/>
        <v>8.0511081218719482</v>
      </c>
      <c r="R35"/>
      <c r="S35"/>
      <c r="X35"/>
      <c r="Y35"/>
      <c r="Z35" s="283">
        <f t="shared" si="9"/>
        <v>8</v>
      </c>
      <c r="AA35" s="283">
        <f t="shared" si="10"/>
        <v>4</v>
      </c>
      <c r="AB35" s="283" t="str">
        <f t="shared" si="11"/>
        <v>Henriette Wilford</v>
      </c>
      <c r="AC35" s="283">
        <f t="shared" si="12"/>
        <v>3</v>
      </c>
      <c r="AD35" s="283" t="str">
        <f t="shared" si="13"/>
        <v>L</v>
      </c>
      <c r="AE35" s="284"/>
      <c r="AF35" s="285">
        <f>IF(AND(LEN(H35)&gt;0,$O35=1),H35*VLOOKUP($AA35,$S:$X,6,FALSE),"")</f>
        <v>2.3878870340943745</v>
      </c>
      <c r="AG35" s="285">
        <f>IF(AND(LEN(I35)&gt;0,$O35=1),I35*VLOOKUP($AA35,$S:$X,6,FALSE),"")</f>
        <v>5.6824259730328617</v>
      </c>
      <c r="AH35" s="285">
        <f>IF(AND(LEN(J35)&gt;0,$O35=1),J35*VLOOKUP($AA35,$S:$X,6,FALSE),"")</f>
        <v>1.4414008359802148</v>
      </c>
      <c r="AI35" s="285">
        <f t="shared" si="14"/>
        <v>9.5117138431074508</v>
      </c>
      <c r="AL35"/>
    </row>
    <row r="36" spans="1:38" x14ac:dyDescent="0.25">
      <c r="A36" s="232">
        <v>4</v>
      </c>
      <c r="B36" s="232" t="s">
        <v>94</v>
      </c>
      <c r="C36" s="232">
        <v>4</v>
      </c>
      <c r="D36" s="232" t="s">
        <v>253</v>
      </c>
      <c r="E36" s="232">
        <v>12</v>
      </c>
      <c r="F36" s="232" t="s">
        <v>125</v>
      </c>
      <c r="G36" s="272"/>
      <c r="H36" s="273">
        <v>4.411029577255249</v>
      </c>
      <c r="I36" s="273">
        <v>1.3232321739196777</v>
      </c>
      <c r="J36" s="273">
        <v>3.8813021183013916</v>
      </c>
      <c r="K36" s="274">
        <f>IF(AND(H36&gt;=H$3, H36&lt;=H$4),1,0)</f>
        <v>1</v>
      </c>
      <c r="L36" s="274">
        <f>IF(AND(I36&gt;=I$3, I36&lt;=I$4),1,0)</f>
        <v>1</v>
      </c>
      <c r="M36" s="274">
        <f>IF(AND(J36&gt;=J$3, J36&lt;=J$4),1,0)</f>
        <v>1</v>
      </c>
      <c r="N36" s="275">
        <f>SUM(K36:M36)</f>
        <v>3</v>
      </c>
      <c r="O36" s="274">
        <f>IF(COUNT(H36:J36)&lt;N$1,0,1)</f>
        <v>1</v>
      </c>
      <c r="P36" s="276">
        <f t="shared" si="3"/>
        <v>3</v>
      </c>
      <c r="Q36" s="277">
        <f t="shared" si="4"/>
        <v>9.6155638694763184</v>
      </c>
      <c r="R36"/>
      <c r="S36"/>
      <c r="X36"/>
      <c r="Y36"/>
      <c r="Z36" s="283">
        <f t="shared" si="9"/>
        <v>12</v>
      </c>
      <c r="AA36" s="283">
        <f t="shared" si="10"/>
        <v>4</v>
      </c>
      <c r="AB36" s="283" t="str">
        <f t="shared" si="11"/>
        <v>Henriette Wilford</v>
      </c>
      <c r="AC36" s="283">
        <f t="shared" si="12"/>
        <v>4</v>
      </c>
      <c r="AD36" s="283" t="str">
        <f t="shared" si="13"/>
        <v>L</v>
      </c>
      <c r="AE36" s="284"/>
      <c r="AF36" s="285">
        <f>IF(AND(LEN(H36)&gt;0,$O36=1),H36*VLOOKUP($AA36,$S:$X,6,FALSE),"")</f>
        <v>5.2112641461558145</v>
      </c>
      <c r="AG36" s="285">
        <f>IF(AND(LEN(I36)&gt;0,$O36=1),I36*VLOOKUP($AA36,$S:$X,6,FALSE),"")</f>
        <v>1.5632886300613447</v>
      </c>
      <c r="AH36" s="285">
        <f>IF(AND(LEN(J36)&gt;0,$O36=1),J36*VLOOKUP($AA36,$S:$X,6,FALSE),"")</f>
        <v>4.5854352629592956</v>
      </c>
      <c r="AI36" s="285">
        <f t="shared" si="14"/>
        <v>11.359988039176454</v>
      </c>
      <c r="AL36"/>
    </row>
    <row r="37" spans="1:38" x14ac:dyDescent="0.25">
      <c r="A37" s="232">
        <v>4</v>
      </c>
      <c r="B37" s="232" t="s">
        <v>94</v>
      </c>
      <c r="C37" s="232">
        <v>1</v>
      </c>
      <c r="D37" s="232" t="s">
        <v>253</v>
      </c>
      <c r="E37" s="232">
        <v>17</v>
      </c>
      <c r="F37" s="232" t="s">
        <v>145</v>
      </c>
      <c r="G37" s="272"/>
      <c r="H37" s="273">
        <v>2.07305908203125</v>
      </c>
      <c r="I37" s="273">
        <v>4.6498878002166748</v>
      </c>
      <c r="J37" s="273">
        <v>1.2131028175354004</v>
      </c>
      <c r="K37" s="274">
        <f>IF(AND(H37&gt;=H$3, H37&lt;=H$4),1,0)</f>
        <v>1</v>
      </c>
      <c r="L37" s="274">
        <f>IF(AND(I37&gt;=I$3, I37&lt;=I$4),1,0)</f>
        <v>1</v>
      </c>
      <c r="M37" s="274">
        <f>IF(AND(J37&gt;=J$3, J37&lt;=J$4),1,0)</f>
        <v>1</v>
      </c>
      <c r="N37" s="275">
        <f>SUM(K37:M37)</f>
        <v>3</v>
      </c>
      <c r="O37" s="274">
        <f>IF(COUNT(H37:J37)&lt;N$1,0,1)</f>
        <v>1</v>
      </c>
      <c r="P37" s="276">
        <f t="shared" si="3"/>
        <v>3</v>
      </c>
      <c r="Q37" s="277">
        <f t="shared" si="4"/>
        <v>7.9360496997833252</v>
      </c>
      <c r="R37"/>
      <c r="S37"/>
      <c r="X37"/>
      <c r="Y37"/>
      <c r="Z37" s="283">
        <f t="shared" si="9"/>
        <v>17</v>
      </c>
      <c r="AA37" s="283">
        <f t="shared" si="10"/>
        <v>4</v>
      </c>
      <c r="AB37" s="283" t="str">
        <f t="shared" si="11"/>
        <v>Henriette Wilford</v>
      </c>
      <c r="AC37" s="283">
        <f t="shared" si="12"/>
        <v>1</v>
      </c>
      <c r="AD37" s="283" t="str">
        <f t="shared" si="13"/>
        <v>L</v>
      </c>
      <c r="AE37" s="284"/>
      <c r="AF37" s="285">
        <f>IF(AND(LEN(H37)&gt;0,$O37=1),H37*VLOOKUP($AA37,$S:$X,6,FALSE),"")</f>
        <v>2.4491466851089299</v>
      </c>
      <c r="AG37" s="285">
        <f>IF(AND(LEN(I37)&gt;0,$O37=1),I37*VLOOKUP($AA37,$S:$X,6,FALSE),"")</f>
        <v>5.4934552472429017</v>
      </c>
      <c r="AH37" s="285">
        <f>IF(AND(LEN(J37)&gt;0,$O37=1),J37*VLOOKUP($AA37,$S:$X,6,FALSE),"")</f>
        <v>1.4331799657885207</v>
      </c>
      <c r="AI37" s="285">
        <f t="shared" si="14"/>
        <v>9.3757818981403513</v>
      </c>
      <c r="AL37"/>
    </row>
    <row r="38" spans="1:38" x14ac:dyDescent="0.25">
      <c r="A38" s="232">
        <v>4</v>
      </c>
      <c r="B38" s="232" t="s">
        <v>94</v>
      </c>
      <c r="C38" s="232">
        <v>1</v>
      </c>
      <c r="D38" s="232" t="s">
        <v>254</v>
      </c>
      <c r="E38" s="232">
        <v>19</v>
      </c>
      <c r="F38" s="232" t="s">
        <v>153</v>
      </c>
      <c r="G38" s="272"/>
      <c r="H38" s="273">
        <v>3.3923542499542236</v>
      </c>
      <c r="I38" s="273">
        <v>2.9979104995727539</v>
      </c>
      <c r="J38" s="273">
        <v>4.5013101100921631</v>
      </c>
      <c r="K38" s="274">
        <f>IF(AND(H38&gt;=H$3, H38&lt;=H$4),1,0)</f>
        <v>1</v>
      </c>
      <c r="L38" s="274">
        <f>IF(AND(I38&gt;=I$3, I38&lt;=I$4),1,0)</f>
        <v>1</v>
      </c>
      <c r="M38" s="274">
        <f>IF(AND(J38&gt;=J$3, J38&lt;=J$4),1,0)</f>
        <v>1</v>
      </c>
      <c r="N38" s="275">
        <f>SUM(K38:M38)</f>
        <v>3</v>
      </c>
      <c r="O38" s="274">
        <f>IF(COUNT(H38:J38)&lt;N$1,0,1)</f>
        <v>1</v>
      </c>
      <c r="P38" s="276">
        <f t="shared" si="3"/>
        <v>3</v>
      </c>
      <c r="Q38" s="277">
        <f t="shared" si="4"/>
        <v>10.891574859619141</v>
      </c>
      <c r="R38"/>
      <c r="S38"/>
      <c r="X38"/>
      <c r="Y38"/>
      <c r="Z38" s="283">
        <f t="shared" si="9"/>
        <v>19</v>
      </c>
      <c r="AA38" s="283">
        <f t="shared" si="10"/>
        <v>4</v>
      </c>
      <c r="AB38" s="283" t="str">
        <f t="shared" si="11"/>
        <v>Henriette Wilford</v>
      </c>
      <c r="AC38" s="283">
        <f t="shared" si="12"/>
        <v>1</v>
      </c>
      <c r="AD38" s="283" t="str">
        <f t="shared" si="13"/>
        <v>M</v>
      </c>
      <c r="AE38" s="284"/>
      <c r="AF38" s="285">
        <f>IF(AND(LEN(H38)&gt;0,$O38=1),H38*VLOOKUP($AA38,$S:$X,6,FALSE),"")</f>
        <v>4.0077840704133552</v>
      </c>
      <c r="AG38" s="285">
        <f>IF(AND(LEN(I38)&gt;0,$O38=1),I38*VLOOKUP($AA38,$S:$X,6,FALSE),"")</f>
        <v>3.5417816240372764</v>
      </c>
      <c r="AH38" s="285">
        <f>IF(AND(LEN(J38)&gt;0,$O38=1),J38*VLOOKUP($AA38,$S:$X,6,FALSE),"")</f>
        <v>5.3179230781871896</v>
      </c>
      <c r="AI38" s="285">
        <f t="shared" si="14"/>
        <v>12.86748877263782</v>
      </c>
      <c r="AL38"/>
    </row>
    <row r="39" spans="1:38" x14ac:dyDescent="0.25">
      <c r="A39" s="232">
        <v>4</v>
      </c>
      <c r="B39" s="232" t="s">
        <v>94</v>
      </c>
      <c r="C39" s="232">
        <v>2</v>
      </c>
      <c r="D39" s="232" t="s">
        <v>254</v>
      </c>
      <c r="E39" s="232">
        <v>20</v>
      </c>
      <c r="F39" s="232" t="s">
        <v>157</v>
      </c>
      <c r="G39" s="272"/>
      <c r="H39" s="273">
        <v>2.7809062004089355</v>
      </c>
      <c r="I39" s="273">
        <v>4.3227331638336182</v>
      </c>
      <c r="J39" s="273">
        <v>4.3054065704345703</v>
      </c>
      <c r="K39" s="274">
        <f>IF(AND(H39&gt;=H$3, H39&lt;=H$4),1,0)</f>
        <v>1</v>
      </c>
      <c r="L39" s="274">
        <f>IF(AND(I39&gt;=I$3, I39&lt;=I$4),1,0)</f>
        <v>1</v>
      </c>
      <c r="M39" s="274">
        <f>IF(AND(J39&gt;=J$3, J39&lt;=J$4),1,0)</f>
        <v>1</v>
      </c>
      <c r="N39" s="275">
        <f>SUM(K39:M39)</f>
        <v>3</v>
      </c>
      <c r="O39" s="274">
        <f>IF(COUNT(H39:J39)&lt;N$1,0,1)</f>
        <v>1</v>
      </c>
      <c r="P39" s="276">
        <f t="shared" si="3"/>
        <v>3</v>
      </c>
      <c r="Q39" s="277">
        <f t="shared" si="4"/>
        <v>11.409045934677124</v>
      </c>
      <c r="R39"/>
      <c r="S39"/>
      <c r="X39"/>
      <c r="Y39"/>
      <c r="Z39" s="283">
        <f t="shared" si="9"/>
        <v>20</v>
      </c>
      <c r="AA39" s="283">
        <f t="shared" si="10"/>
        <v>4</v>
      </c>
      <c r="AB39" s="283" t="str">
        <f t="shared" si="11"/>
        <v>Henriette Wilford</v>
      </c>
      <c r="AC39" s="283">
        <f t="shared" si="12"/>
        <v>2</v>
      </c>
      <c r="AD39" s="283" t="str">
        <f t="shared" si="13"/>
        <v>M</v>
      </c>
      <c r="AE39" s="284"/>
      <c r="AF39" s="285">
        <f>IF(AND(LEN(H39)&gt;0,$O39=1),H39*VLOOKUP($AA39,$S:$X,6,FALSE),"")</f>
        <v>3.2854091141758133</v>
      </c>
      <c r="AG39" s="285">
        <f>IF(AND(LEN(I39)&gt;0,$O39=1),I39*VLOOKUP($AA39,$S:$X,6,FALSE),"")</f>
        <v>5.106949285999149</v>
      </c>
      <c r="AH39" s="285">
        <f>IF(AND(LEN(J39)&gt;0,$O39=1),J39*VLOOKUP($AA39,$S:$X,6,FALSE),"")</f>
        <v>5.0864793586558674</v>
      </c>
      <c r="AI39" s="285">
        <f t="shared" si="14"/>
        <v>13.478837758830831</v>
      </c>
      <c r="AL39"/>
    </row>
    <row r="40" spans="1:38" x14ac:dyDescent="0.25">
      <c r="A40" s="232">
        <v>4</v>
      </c>
      <c r="B40" s="232" t="s">
        <v>94</v>
      </c>
      <c r="C40" s="232">
        <v>2</v>
      </c>
      <c r="D40" s="232" t="s">
        <v>254</v>
      </c>
      <c r="E40" s="232">
        <v>23</v>
      </c>
      <c r="F40" s="232" t="s">
        <v>169</v>
      </c>
      <c r="G40" s="272"/>
      <c r="H40" s="273">
        <v>1.2829234600067139</v>
      </c>
      <c r="I40" s="273">
        <v>3.3237614631652832</v>
      </c>
      <c r="J40" s="273">
        <v>3.0310814380645752</v>
      </c>
      <c r="K40" s="274">
        <f>IF(AND(H40&gt;=H$3, H40&lt;=H$4),1,0)</f>
        <v>1</v>
      </c>
      <c r="L40" s="274">
        <f>IF(AND(I40&gt;=I$3, I40&lt;=I$4),1,0)</f>
        <v>1</v>
      </c>
      <c r="M40" s="274">
        <f>IF(AND(J40&gt;=J$3, J40&lt;=J$4),1,0)</f>
        <v>1</v>
      </c>
      <c r="N40" s="275">
        <f>SUM(K40:M40)</f>
        <v>3</v>
      </c>
      <c r="O40" s="274">
        <f>IF(COUNT(H40:J40)&lt;N$1,0,1)</f>
        <v>1</v>
      </c>
      <c r="P40" s="276">
        <f t="shared" si="3"/>
        <v>3</v>
      </c>
      <c r="Q40" s="277">
        <f t="shared" si="4"/>
        <v>7.6377663612365723</v>
      </c>
      <c r="R40"/>
      <c r="S40"/>
      <c r="X40"/>
      <c r="Y40"/>
      <c r="Z40" s="283">
        <f t="shared" si="9"/>
        <v>23</v>
      </c>
      <c r="AA40" s="283">
        <f t="shared" si="10"/>
        <v>4</v>
      </c>
      <c r="AB40" s="283" t="str">
        <f t="shared" si="11"/>
        <v>Henriette Wilford</v>
      </c>
      <c r="AC40" s="283">
        <f t="shared" si="12"/>
        <v>2</v>
      </c>
      <c r="AD40" s="283" t="str">
        <f t="shared" si="13"/>
        <v>M</v>
      </c>
      <c r="AE40" s="284"/>
      <c r="AF40" s="285">
        <f>IF(AND(LEN(H40)&gt;0,$O40=1),H40*VLOOKUP($AA40,$S:$X,6,FALSE),"")</f>
        <v>1.5156672410152552</v>
      </c>
      <c r="AG40" s="285">
        <f>IF(AND(LEN(I40)&gt;0,$O40=1),I40*VLOOKUP($AA40,$S:$X,6,FALSE),"")</f>
        <v>3.9267474044337676</v>
      </c>
      <c r="AH40" s="285">
        <f>IF(AND(LEN(J40)&gt;0,$O40=1),J40*VLOOKUP($AA40,$S:$X,6,FALSE),"")</f>
        <v>3.5809703257744188</v>
      </c>
      <c r="AI40" s="285">
        <f t="shared" si="14"/>
        <v>9.0233849712234413</v>
      </c>
      <c r="AL40"/>
    </row>
    <row r="41" spans="1:38" x14ac:dyDescent="0.25">
      <c r="A41" s="232">
        <v>4</v>
      </c>
      <c r="B41" s="232" t="s">
        <v>94</v>
      </c>
      <c r="C41" s="232">
        <v>3</v>
      </c>
      <c r="D41" s="232" t="s">
        <v>253</v>
      </c>
      <c r="E41" s="232">
        <v>25</v>
      </c>
      <c r="F41" s="232" t="s">
        <v>177</v>
      </c>
      <c r="G41" s="272"/>
      <c r="H41" s="273">
        <v>4.1696195602416992</v>
      </c>
      <c r="I41" s="273">
        <v>2.7225110530853271</v>
      </c>
      <c r="J41" s="273">
        <v>4.9083189964294434</v>
      </c>
      <c r="K41" s="274">
        <f>IF(AND(H41&gt;=H$3, H41&lt;=H$4),1,0)</f>
        <v>1</v>
      </c>
      <c r="L41" s="274">
        <f>IF(AND(I41&gt;=I$3, I41&lt;=I$4),1,0)</f>
        <v>1</v>
      </c>
      <c r="M41" s="274">
        <f>IF(AND(J41&gt;=J$3, J41&lt;=J$4),1,0)</f>
        <v>1</v>
      </c>
      <c r="N41" s="275">
        <f>SUM(K41:M41)</f>
        <v>3</v>
      </c>
      <c r="O41" s="274">
        <f>IF(COUNT(H41:J41)&lt;N$1,0,1)</f>
        <v>1</v>
      </c>
      <c r="P41" s="276">
        <f t="shared" si="3"/>
        <v>3</v>
      </c>
      <c r="Q41" s="277">
        <f t="shared" si="4"/>
        <v>11.80044960975647</v>
      </c>
      <c r="R41"/>
      <c r="S41"/>
      <c r="X41"/>
      <c r="Y41"/>
      <c r="Z41" s="283">
        <f t="shared" si="9"/>
        <v>25</v>
      </c>
      <c r="AA41" s="283">
        <f t="shared" si="10"/>
        <v>4</v>
      </c>
      <c r="AB41" s="283" t="str">
        <f t="shared" si="11"/>
        <v>Henriette Wilford</v>
      </c>
      <c r="AC41" s="283">
        <f t="shared" si="12"/>
        <v>3</v>
      </c>
      <c r="AD41" s="283" t="str">
        <f t="shared" si="13"/>
        <v>L</v>
      </c>
      <c r="AE41" s="284"/>
      <c r="AF41" s="285">
        <f>IF(AND(LEN(H41)&gt;0,$O41=1),H41*VLOOKUP($AA41,$S:$X,6,FALSE),"")</f>
        <v>4.9260583128799471</v>
      </c>
      <c r="AG41" s="285">
        <f>IF(AND(LEN(I41)&gt;0,$O41=1),I41*VLOOKUP($AA41,$S:$X,6,FALSE),"")</f>
        <v>3.2164201100834027</v>
      </c>
      <c r="AH41" s="285">
        <f>IF(AND(LEN(J41)&gt;0,$O41=1),J41*VLOOKUP($AA41,$S:$X,6,FALSE),"")</f>
        <v>5.798770186416303</v>
      </c>
      <c r="AI41" s="285">
        <f t="shared" si="14"/>
        <v>13.941248609379652</v>
      </c>
      <c r="AL41"/>
    </row>
    <row r="42" spans="1:38" x14ac:dyDescent="0.25">
      <c r="A42" s="232">
        <v>5</v>
      </c>
      <c r="B42" s="232" t="s">
        <v>98</v>
      </c>
      <c r="C42" s="232">
        <v>1</v>
      </c>
      <c r="D42" s="232" t="s">
        <v>253</v>
      </c>
      <c r="E42" s="232">
        <v>1</v>
      </c>
      <c r="F42" s="232" t="s">
        <v>81</v>
      </c>
      <c r="G42" s="272"/>
      <c r="H42" s="273">
        <v>1.5674479007720947</v>
      </c>
      <c r="I42" s="273">
        <v>3.6904029846191406</v>
      </c>
      <c r="J42" s="273">
        <v>3.7705123424530029</v>
      </c>
      <c r="K42" s="274">
        <f>IF(AND(H42&gt;=H$3, H42&lt;=H$4),1,0)</f>
        <v>1</v>
      </c>
      <c r="L42" s="274">
        <f>IF(AND(I42&gt;=I$3, I42&lt;=I$4),1,0)</f>
        <v>1</v>
      </c>
      <c r="M42" s="274">
        <f>IF(AND(J42&gt;=J$3, J42&lt;=J$4),1,0)</f>
        <v>1</v>
      </c>
      <c r="N42" s="275">
        <f>SUM(K42:M42)</f>
        <v>3</v>
      </c>
      <c r="O42" s="274">
        <f>IF(COUNT(H42:J42)&lt;N$1,0,1)</f>
        <v>1</v>
      </c>
      <c r="P42" s="276">
        <f t="shared" si="3"/>
        <v>3</v>
      </c>
      <c r="Q42" s="277">
        <f t="shared" si="4"/>
        <v>9.0283632278442383</v>
      </c>
      <c r="R42"/>
      <c r="S42"/>
      <c r="X42"/>
      <c r="Y42"/>
      <c r="Z42" s="283">
        <f t="shared" si="9"/>
        <v>1</v>
      </c>
      <c r="AA42" s="283">
        <f t="shared" si="10"/>
        <v>5</v>
      </c>
      <c r="AB42" s="283" t="str">
        <f t="shared" si="11"/>
        <v>Era Vandervoort</v>
      </c>
      <c r="AC42" s="283">
        <f t="shared" si="12"/>
        <v>1</v>
      </c>
      <c r="AD42" s="283" t="str">
        <f t="shared" si="13"/>
        <v>L</v>
      </c>
      <c r="AE42" s="284"/>
      <c r="AF42" s="285">
        <f>IF(AND(LEN(H42)&gt;0,$O42=1),H42*VLOOKUP($AA42,$S:$X,6,FALSE),"")</f>
        <v>1.7875867953323095</v>
      </c>
      <c r="AG42" s="285">
        <f>IF(AND(LEN(I42)&gt;0,$O42=1),I42*VLOOKUP($AA42,$S:$X,6,FALSE),"")</f>
        <v>4.2086985101773431</v>
      </c>
      <c r="AH42" s="285">
        <f>IF(AND(LEN(J42)&gt;0,$O42=1),J42*VLOOKUP($AA42,$S:$X,6,FALSE),"")</f>
        <v>4.3000587590097448</v>
      </c>
      <c r="AI42" s="285">
        <f t="shared" si="14"/>
        <v>10.296344064519397</v>
      </c>
      <c r="AL42"/>
    </row>
    <row r="43" spans="1:38" x14ac:dyDescent="0.25">
      <c r="A43" s="232">
        <v>5</v>
      </c>
      <c r="B43" s="232" t="s">
        <v>98</v>
      </c>
      <c r="C43" s="232">
        <v>2</v>
      </c>
      <c r="D43" s="232" t="s">
        <v>253</v>
      </c>
      <c r="E43" s="232">
        <v>2</v>
      </c>
      <c r="F43" s="232" t="s">
        <v>85</v>
      </c>
      <c r="G43" s="272"/>
      <c r="H43" s="273">
        <v>3.933260440826416</v>
      </c>
      <c r="I43" s="273">
        <v>2.9857876300811768</v>
      </c>
      <c r="J43" s="273">
        <v>4.9558916091918945</v>
      </c>
      <c r="K43" s="274">
        <f>IF(AND(H43&gt;=H$3, H43&lt;=H$4),1,0)</f>
        <v>1</v>
      </c>
      <c r="L43" s="274">
        <f>IF(AND(I43&gt;=I$3, I43&lt;=I$4),1,0)</f>
        <v>1</v>
      </c>
      <c r="M43" s="274">
        <f>IF(AND(J43&gt;=J$3, J43&lt;=J$4),1,0)</f>
        <v>1</v>
      </c>
      <c r="N43" s="275">
        <f>SUM(K43:M43)</f>
        <v>3</v>
      </c>
      <c r="O43" s="274">
        <f>IF(COUNT(H43:J43)&lt;N$1,0,1)</f>
        <v>1</v>
      </c>
      <c r="P43" s="276">
        <f t="shared" si="3"/>
        <v>3</v>
      </c>
      <c r="Q43" s="277">
        <f t="shared" si="4"/>
        <v>11.874939680099487</v>
      </c>
      <c r="R43"/>
      <c r="S43"/>
      <c r="X43"/>
      <c r="Y43"/>
      <c r="Z43" s="283">
        <f t="shared" si="9"/>
        <v>2</v>
      </c>
      <c r="AA43" s="283">
        <f t="shared" si="10"/>
        <v>5</v>
      </c>
      <c r="AB43" s="283" t="str">
        <f t="shared" si="11"/>
        <v>Era Vandervoort</v>
      </c>
      <c r="AC43" s="283">
        <f t="shared" si="12"/>
        <v>2</v>
      </c>
      <c r="AD43" s="283" t="str">
        <f t="shared" si="13"/>
        <v>L</v>
      </c>
      <c r="AE43" s="284"/>
      <c r="AF43" s="285">
        <f>IF(AND(LEN(H43)&gt;0,$O43=1),H43*VLOOKUP($AA43,$S:$X,6,FALSE),"")</f>
        <v>4.4856638763947956</v>
      </c>
      <c r="AG43" s="285">
        <f>IF(AND(LEN(I43)&gt;0,$O43=1),I43*VLOOKUP($AA43,$S:$X,6,FALSE),"")</f>
        <v>3.4051240481872367</v>
      </c>
      <c r="AH43" s="285">
        <f>IF(AND(LEN(J43)&gt;0,$O43=1),J43*VLOOKUP($AA43,$S:$X,6,FALSE),"")</f>
        <v>5.651917614184053</v>
      </c>
      <c r="AI43" s="285">
        <f t="shared" si="14"/>
        <v>13.542705538766086</v>
      </c>
      <c r="AL43"/>
    </row>
    <row r="44" spans="1:38" x14ac:dyDescent="0.25">
      <c r="A44" s="232">
        <v>5</v>
      </c>
      <c r="B44" s="232" t="s">
        <v>98</v>
      </c>
      <c r="C44" s="232">
        <v>4</v>
      </c>
      <c r="D44" s="232" t="s">
        <v>253</v>
      </c>
      <c r="E44" s="232">
        <v>3</v>
      </c>
      <c r="F44" s="232" t="s">
        <v>89</v>
      </c>
      <c r="G44" s="272"/>
      <c r="H44" s="273">
        <v>4.4125230312347412</v>
      </c>
      <c r="I44" s="273">
        <v>1.6917986869812012</v>
      </c>
      <c r="J44" s="273">
        <v>3.6564619541168213</v>
      </c>
      <c r="K44" s="274">
        <f>IF(AND(H44&gt;=H$3, H44&lt;=H$4),1,0)</f>
        <v>1</v>
      </c>
      <c r="L44" s="274">
        <f>IF(AND(I44&gt;=I$3, I44&lt;=I$4),1,0)</f>
        <v>1</v>
      </c>
      <c r="M44" s="274">
        <f>IF(AND(J44&gt;=J$3, J44&lt;=J$4),1,0)</f>
        <v>1</v>
      </c>
      <c r="N44" s="275">
        <f>SUM(K44:M44)</f>
        <v>3</v>
      </c>
      <c r="O44" s="274">
        <f>IF(COUNT(H44:J44)&lt;N$1,0,1)</f>
        <v>1</v>
      </c>
      <c r="P44" s="276">
        <f t="shared" si="3"/>
        <v>3</v>
      </c>
      <c r="Q44" s="277">
        <f t="shared" si="4"/>
        <v>9.7607836723327637</v>
      </c>
      <c r="R44"/>
      <c r="S44"/>
      <c r="X44"/>
      <c r="Y44"/>
      <c r="Z44" s="283">
        <f t="shared" si="9"/>
        <v>3</v>
      </c>
      <c r="AA44" s="283">
        <f t="shared" si="10"/>
        <v>5</v>
      </c>
      <c r="AB44" s="283" t="str">
        <f t="shared" si="11"/>
        <v>Era Vandervoort</v>
      </c>
      <c r="AC44" s="283">
        <f t="shared" si="12"/>
        <v>4</v>
      </c>
      <c r="AD44" s="283" t="str">
        <f t="shared" si="13"/>
        <v>L</v>
      </c>
      <c r="AE44" s="284"/>
      <c r="AF44" s="285">
        <f>IF(AND(LEN(H44)&gt;0,$O44=1),H44*VLOOKUP($AA44,$S:$X,6,FALSE),"")</f>
        <v>5.0322360959171633</v>
      </c>
      <c r="AG44" s="285">
        <f>IF(AND(LEN(I44)&gt;0,$O44=1),I44*VLOOKUP($AA44,$S:$X,6,FALSE),"")</f>
        <v>1.9294019225254333</v>
      </c>
      <c r="AH44" s="285">
        <f>IF(AND(LEN(J44)&gt;0,$O44=1),J44*VLOOKUP($AA44,$S:$X,6,FALSE),"")</f>
        <v>4.1699906603559675</v>
      </c>
      <c r="AI44" s="285">
        <f t="shared" si="14"/>
        <v>11.131628678798563</v>
      </c>
      <c r="AL44"/>
    </row>
    <row r="45" spans="1:38" x14ac:dyDescent="0.25">
      <c r="A45" s="232">
        <v>5</v>
      </c>
      <c r="B45" s="232" t="s">
        <v>98</v>
      </c>
      <c r="C45" s="232">
        <v>1</v>
      </c>
      <c r="D45" s="232" t="s">
        <v>253</v>
      </c>
      <c r="E45" s="232">
        <v>7</v>
      </c>
      <c r="F45" s="232" t="s">
        <v>105</v>
      </c>
      <c r="G45" s="272"/>
      <c r="H45" s="273">
        <v>2.1050014495849609</v>
      </c>
      <c r="I45" s="273">
        <v>4.481795072555542</v>
      </c>
      <c r="J45" s="273">
        <v>3.9341778755187988</v>
      </c>
      <c r="K45" s="274">
        <f>IF(AND(H45&gt;=H$3, H45&lt;=H$4),1,0)</f>
        <v>1</v>
      </c>
      <c r="L45" s="274">
        <f>IF(AND(I45&gt;=I$3, I45&lt;=I$4),1,0)</f>
        <v>1</v>
      </c>
      <c r="M45" s="274">
        <f>IF(AND(J45&gt;=J$3, J45&lt;=J$4),1,0)</f>
        <v>1</v>
      </c>
      <c r="N45" s="275">
        <f>SUM(K45:M45)</f>
        <v>3</v>
      </c>
      <c r="O45" s="274">
        <f>IF(COUNT(H45:J45)&lt;N$1,0,1)</f>
        <v>1</v>
      </c>
      <c r="P45" s="276">
        <f t="shared" si="3"/>
        <v>3</v>
      </c>
      <c r="Q45" s="277">
        <f t="shared" si="4"/>
        <v>10.520974397659302</v>
      </c>
      <c r="S45"/>
      <c r="X45"/>
      <c r="Z45" s="283">
        <f t="shared" si="9"/>
        <v>7</v>
      </c>
      <c r="AA45" s="283">
        <f t="shared" si="10"/>
        <v>5</v>
      </c>
      <c r="AB45" s="283" t="str">
        <f t="shared" si="11"/>
        <v>Era Vandervoort</v>
      </c>
      <c r="AC45" s="283">
        <f t="shared" si="12"/>
        <v>1</v>
      </c>
      <c r="AD45" s="283" t="str">
        <f t="shared" si="13"/>
        <v>L</v>
      </c>
      <c r="AE45" s="284"/>
      <c r="AF45" s="285">
        <f>IF(AND(LEN(H45)&gt;0,$O45=1),H45*VLOOKUP($AA45,$S:$X,6,FALSE),"")</f>
        <v>2.4006365976055264</v>
      </c>
      <c r="AG45" s="285">
        <f>IF(AND(LEN(I45)&gt;0,$O45=1),I45*VLOOKUP($AA45,$S:$X,6,FALSE),"")</f>
        <v>5.1112369904858319</v>
      </c>
      <c r="AH45" s="285">
        <f>IF(AND(LEN(J45)&gt;0,$O45=1),J45*VLOOKUP($AA45,$S:$X,6,FALSE),"")</f>
        <v>4.486710159426516</v>
      </c>
      <c r="AI45" s="285">
        <f t="shared" si="14"/>
        <v>11.998583747517873</v>
      </c>
      <c r="AL45"/>
    </row>
    <row r="46" spans="1:38" x14ac:dyDescent="0.25">
      <c r="A46" s="232">
        <v>5</v>
      </c>
      <c r="B46" s="232" t="s">
        <v>98</v>
      </c>
      <c r="C46" s="232">
        <v>1</v>
      </c>
      <c r="D46" s="232" t="s">
        <v>255</v>
      </c>
      <c r="E46" s="232">
        <v>11</v>
      </c>
      <c r="F46" s="232" t="s">
        <v>121</v>
      </c>
      <c r="G46" s="272"/>
      <c r="H46" s="273">
        <v>2.5787384510040283</v>
      </c>
      <c r="I46" s="273">
        <v>1.3899297714233398</v>
      </c>
      <c r="J46" s="273">
        <v>3.4717366695404053</v>
      </c>
      <c r="K46" s="274">
        <f>IF(AND(H46&gt;=H$3, H46&lt;=H$4),1,0)</f>
        <v>1</v>
      </c>
      <c r="L46" s="274">
        <f>IF(AND(I46&gt;=I$3, I46&lt;=I$4),1,0)</f>
        <v>1</v>
      </c>
      <c r="M46" s="274">
        <f>IF(AND(J46&gt;=J$3, J46&lt;=J$4),1,0)</f>
        <v>1</v>
      </c>
      <c r="N46" s="275">
        <f>SUM(K46:M46)</f>
        <v>3</v>
      </c>
      <c r="O46" s="274">
        <f>IF(COUNT(H46:J46)&lt;N$1,0,1)</f>
        <v>1</v>
      </c>
      <c r="P46" s="276">
        <f t="shared" si="3"/>
        <v>3</v>
      </c>
      <c r="Q46" s="277">
        <f t="shared" si="4"/>
        <v>7.4404048919677734</v>
      </c>
      <c r="S46"/>
      <c r="X46"/>
      <c r="Z46" s="283">
        <f t="shared" si="9"/>
        <v>11</v>
      </c>
      <c r="AA46" s="283">
        <f t="shared" si="10"/>
        <v>5</v>
      </c>
      <c r="AB46" s="283" t="str">
        <f t="shared" si="11"/>
        <v>Era Vandervoort</v>
      </c>
      <c r="AC46" s="283">
        <f t="shared" si="12"/>
        <v>1</v>
      </c>
      <c r="AD46" s="283" t="str">
        <f t="shared" si="13"/>
        <v>H</v>
      </c>
      <c r="AE46" s="284"/>
      <c r="AF46" s="285">
        <f>IF(AND(LEN(H46)&gt;0,$O46=1),H46*VLOOKUP($AA46,$S:$X,6,FALSE),"")</f>
        <v>2.9409071914669926</v>
      </c>
      <c r="AG46" s="285">
        <f>IF(AND(LEN(I46)&gt;0,$O46=1),I46*VLOOKUP($AA46,$S:$X,6,FALSE),"")</f>
        <v>1.5851372824651724</v>
      </c>
      <c r="AH46" s="285">
        <f>IF(AND(LEN(J46)&gt;0,$O46=1),J46*VLOOKUP($AA46,$S:$X,6,FALSE),"")</f>
        <v>3.9593217894415669</v>
      </c>
      <c r="AI46" s="285">
        <f t="shared" si="14"/>
        <v>8.4853662633737326</v>
      </c>
      <c r="AL46"/>
    </row>
    <row r="47" spans="1:38" x14ac:dyDescent="0.25">
      <c r="A47" s="232">
        <v>5</v>
      </c>
      <c r="B47" s="232" t="s">
        <v>98</v>
      </c>
      <c r="C47" s="232">
        <v>2</v>
      </c>
      <c r="D47" s="232" t="s">
        <v>253</v>
      </c>
      <c r="E47" s="232">
        <v>17</v>
      </c>
      <c r="F47" s="232" t="s">
        <v>145</v>
      </c>
      <c r="G47" s="272"/>
      <c r="H47" s="273">
        <v>1.430173397064209</v>
      </c>
      <c r="I47" s="273">
        <v>3.6932909488677979</v>
      </c>
      <c r="J47" s="273">
        <v>2.2386550903320313</v>
      </c>
      <c r="K47" s="274">
        <f>IF(AND(H47&gt;=H$3, H47&lt;=H$4),1,0)</f>
        <v>1</v>
      </c>
      <c r="L47" s="274">
        <f>IF(AND(I47&gt;=I$3, I47&lt;=I$4),1,0)</f>
        <v>1</v>
      </c>
      <c r="M47" s="274">
        <f>IF(AND(J47&gt;=J$3, J47&lt;=J$4),1,0)</f>
        <v>1</v>
      </c>
      <c r="N47" s="275">
        <f>SUM(K47:M47)</f>
        <v>3</v>
      </c>
      <c r="O47" s="274">
        <f>IF(COUNT(H47:J47)&lt;N$1,0,1)</f>
        <v>1</v>
      </c>
      <c r="P47" s="276">
        <f t="shared" si="3"/>
        <v>3</v>
      </c>
      <c r="Q47" s="277">
        <f t="shared" si="4"/>
        <v>7.3621194362640381</v>
      </c>
      <c r="S47"/>
      <c r="X47"/>
      <c r="Z47" s="283">
        <f t="shared" si="9"/>
        <v>17</v>
      </c>
      <c r="AA47" s="283">
        <f t="shared" si="10"/>
        <v>5</v>
      </c>
      <c r="AB47" s="283" t="str">
        <f t="shared" si="11"/>
        <v>Era Vandervoort</v>
      </c>
      <c r="AC47" s="283">
        <f t="shared" si="12"/>
        <v>2</v>
      </c>
      <c r="AD47" s="283" t="str">
        <f t="shared" si="13"/>
        <v>L</v>
      </c>
      <c r="AE47" s="284"/>
      <c r="AF47" s="285">
        <f>IF(AND(LEN(H47)&gt;0,$O47=1),H47*VLOOKUP($AA47,$S:$X,6,FALSE),"")</f>
        <v>1.6310328900681292</v>
      </c>
      <c r="AG47" s="285">
        <f>IF(AND(LEN(I47)&gt;0,$O47=1),I47*VLOOKUP($AA47,$S:$X,6,FALSE),"")</f>
        <v>4.2119920721220492</v>
      </c>
      <c r="AH47" s="285">
        <f>IF(AND(LEN(J47)&gt;0,$O47=1),J47*VLOOKUP($AA47,$S:$X,6,FALSE),"")</f>
        <v>2.5530611108731538</v>
      </c>
      <c r="AI47" s="285">
        <f t="shared" si="14"/>
        <v>8.3960860730633318</v>
      </c>
      <c r="AL47"/>
    </row>
    <row r="48" spans="1:38" x14ac:dyDescent="0.25">
      <c r="A48" s="232">
        <v>5</v>
      </c>
      <c r="B48" s="232" t="s">
        <v>98</v>
      </c>
      <c r="C48" s="232">
        <v>3</v>
      </c>
      <c r="D48" s="232" t="s">
        <v>253</v>
      </c>
      <c r="E48" s="232">
        <v>19</v>
      </c>
      <c r="F48" s="232" t="s">
        <v>153</v>
      </c>
      <c r="G48" s="272"/>
      <c r="H48" s="273">
        <v>1.3484122753143311</v>
      </c>
      <c r="I48" s="273">
        <v>3.5315918922424316</v>
      </c>
      <c r="J48" s="273">
        <v>3.1946995258331299</v>
      </c>
      <c r="K48" s="274">
        <f>IF(AND(H48&gt;=H$3, H48&lt;=H$4),1,0)</f>
        <v>1</v>
      </c>
      <c r="L48" s="274">
        <f>IF(AND(I48&gt;=I$3, I48&lt;=I$4),1,0)</f>
        <v>1</v>
      </c>
      <c r="M48" s="274">
        <f>IF(AND(J48&gt;=J$3, J48&lt;=J$4),1,0)</f>
        <v>1</v>
      </c>
      <c r="N48" s="275">
        <f>SUM(K48:M48)</f>
        <v>3</v>
      </c>
      <c r="O48" s="274">
        <f>IF(COUNT(H48:J48)&lt;N$1,0,1)</f>
        <v>1</v>
      </c>
      <c r="P48" s="276">
        <f t="shared" si="3"/>
        <v>3</v>
      </c>
      <c r="Q48" s="277">
        <f t="shared" si="4"/>
        <v>8.0747036933898926</v>
      </c>
      <c r="S48"/>
      <c r="X48"/>
      <c r="Z48" s="283">
        <f t="shared" si="9"/>
        <v>19</v>
      </c>
      <c r="AA48" s="283">
        <f t="shared" si="10"/>
        <v>5</v>
      </c>
      <c r="AB48" s="283" t="str">
        <f t="shared" si="11"/>
        <v>Era Vandervoort</v>
      </c>
      <c r="AC48" s="283">
        <f t="shared" si="12"/>
        <v>3</v>
      </c>
      <c r="AD48" s="283" t="str">
        <f t="shared" si="13"/>
        <v>L</v>
      </c>
      <c r="AE48" s="284"/>
      <c r="AF48" s="285">
        <f>IF(AND(LEN(H48)&gt;0,$O48=1),H48*VLOOKUP($AA48,$S:$X,6,FALSE),"")</f>
        <v>1.5377888967337121</v>
      </c>
      <c r="AG48" s="285">
        <f>IF(AND(LEN(I48)&gt;0,$O48=1),I48*VLOOKUP($AA48,$S:$X,6,FALSE),"")</f>
        <v>4.0275833282659912</v>
      </c>
      <c r="AH48" s="285">
        <f>IF(AND(LEN(J48)&gt;0,$O48=1),J48*VLOOKUP($AA48,$S:$X,6,FALSE),"")</f>
        <v>3.6433763984248926</v>
      </c>
      <c r="AI48" s="285">
        <f t="shared" si="14"/>
        <v>9.2087486234245954</v>
      </c>
      <c r="AL48"/>
    </row>
    <row r="49" spans="1:38" x14ac:dyDescent="0.25">
      <c r="A49" s="232">
        <v>5</v>
      </c>
      <c r="B49" s="232" t="s">
        <v>98</v>
      </c>
      <c r="C49" s="232">
        <v>3</v>
      </c>
      <c r="D49" s="232" t="s">
        <v>254</v>
      </c>
      <c r="E49" s="232">
        <v>22</v>
      </c>
      <c r="F49" s="232" t="s">
        <v>165</v>
      </c>
      <c r="G49" s="272"/>
      <c r="H49" s="273">
        <v>3.3174371719360352</v>
      </c>
      <c r="I49" s="273">
        <v>4.3630425930023193</v>
      </c>
      <c r="J49" s="273">
        <v>4.7347712516784668</v>
      </c>
      <c r="K49" s="274">
        <f>IF(AND(H49&gt;=H$3, H49&lt;=H$4),1,0)</f>
        <v>1</v>
      </c>
      <c r="L49" s="274">
        <f>IF(AND(I49&gt;=I$3, I49&lt;=I$4),1,0)</f>
        <v>1</v>
      </c>
      <c r="M49" s="274">
        <f>IF(AND(J49&gt;=J$3, J49&lt;=J$4),1,0)</f>
        <v>1</v>
      </c>
      <c r="N49" s="275">
        <f>SUM(K49:M49)</f>
        <v>3</v>
      </c>
      <c r="O49" s="274">
        <f>IF(COUNT(H49:J49)&lt;N$1,0,1)</f>
        <v>1</v>
      </c>
      <c r="P49" s="276">
        <f t="shared" si="3"/>
        <v>3</v>
      </c>
      <c r="Q49" s="277">
        <f t="shared" si="4"/>
        <v>12.415251016616821</v>
      </c>
      <c r="S49"/>
      <c r="X49"/>
      <c r="Z49" s="283">
        <f t="shared" si="9"/>
        <v>22</v>
      </c>
      <c r="AA49" s="283">
        <f t="shared" si="10"/>
        <v>5</v>
      </c>
      <c r="AB49" s="283" t="str">
        <f t="shared" si="11"/>
        <v>Era Vandervoort</v>
      </c>
      <c r="AC49" s="283">
        <f t="shared" si="12"/>
        <v>3</v>
      </c>
      <c r="AD49" s="283" t="str">
        <f t="shared" si="13"/>
        <v>M</v>
      </c>
      <c r="AE49" s="284"/>
      <c r="AF49" s="285">
        <f>IF(AND(LEN(H49)&gt;0,$O49=1),H49*VLOOKUP($AA49,$S:$X,6,FALSE),"")</f>
        <v>3.7833518294141135</v>
      </c>
      <c r="AG49" s="285">
        <f>IF(AND(LEN(I49)&gt;0,$O49=1),I49*VLOOKUP($AA49,$S:$X,6,FALSE),"")</f>
        <v>4.9758064193914144</v>
      </c>
      <c r="AH49" s="285">
        <f>IF(AND(LEN(J49)&gt;0,$O49=1),J49*VLOOKUP($AA49,$S:$X,6,FALSE),"")</f>
        <v>5.3997421950996554</v>
      </c>
      <c r="AI49" s="285">
        <f t="shared" si="14"/>
        <v>14.158900443905184</v>
      </c>
      <c r="AL49"/>
    </row>
    <row r="50" spans="1:38" x14ac:dyDescent="0.25">
      <c r="A50" s="232">
        <v>5</v>
      </c>
      <c r="B50" s="232" t="s">
        <v>98</v>
      </c>
      <c r="C50" s="232">
        <v>4</v>
      </c>
      <c r="D50" s="232" t="s">
        <v>253</v>
      </c>
      <c r="E50" s="232">
        <v>23</v>
      </c>
      <c r="F50" s="232" t="s">
        <v>169</v>
      </c>
      <c r="G50" s="272"/>
      <c r="H50" s="273">
        <v>1.8439505100250244</v>
      </c>
      <c r="I50" s="273">
        <v>1.5933170318603516</v>
      </c>
      <c r="J50" s="273">
        <v>3.8645045757293701</v>
      </c>
      <c r="K50" s="274">
        <f>IF(AND(H50&gt;=H$3, H50&lt;=H$4),1,0)</f>
        <v>1</v>
      </c>
      <c r="L50" s="274">
        <f>IF(AND(I50&gt;=I$3, I50&lt;=I$4),1,0)</f>
        <v>1</v>
      </c>
      <c r="M50" s="274">
        <f>IF(AND(J50&gt;=J$3, J50&lt;=J$4),1,0)</f>
        <v>1</v>
      </c>
      <c r="N50" s="275">
        <f>SUM(K50:M50)</f>
        <v>3</v>
      </c>
      <c r="O50" s="274">
        <f>IF(COUNT(H50:J50)&lt;N$1,0,1)</f>
        <v>1</v>
      </c>
      <c r="P50" s="276">
        <f t="shared" si="3"/>
        <v>3</v>
      </c>
      <c r="Q50" s="277">
        <f t="shared" si="4"/>
        <v>7.3017721176147461</v>
      </c>
      <c r="S50"/>
      <c r="X50"/>
      <c r="Z50" s="283">
        <f t="shared" si="9"/>
        <v>23</v>
      </c>
      <c r="AA50" s="283">
        <f t="shared" si="10"/>
        <v>5</v>
      </c>
      <c r="AB50" s="283" t="str">
        <f t="shared" si="11"/>
        <v>Era Vandervoort</v>
      </c>
      <c r="AC50" s="283">
        <f t="shared" si="12"/>
        <v>4</v>
      </c>
      <c r="AD50" s="283" t="str">
        <f t="shared" si="13"/>
        <v>L</v>
      </c>
      <c r="AE50" s="284"/>
      <c r="AF50" s="285">
        <f>IF(AND(LEN(H50)&gt;0,$O50=1),H50*VLOOKUP($AA50,$S:$X,6,FALSE),"")</f>
        <v>2.1029225796553463</v>
      </c>
      <c r="AG50" s="285">
        <f>IF(AND(LEN(I50)&gt;0,$O50=1),I50*VLOOKUP($AA50,$S:$X,6,FALSE),"")</f>
        <v>1.8170890946542262</v>
      </c>
      <c r="AH50" s="285">
        <f>IF(AND(LEN(J50)&gt;0,$O50=1),J50*VLOOKUP($AA50,$S:$X,6,FALSE),"")</f>
        <v>4.4072516519830067</v>
      </c>
      <c r="AI50" s="285">
        <f t="shared" si="14"/>
        <v>8.327263326292579</v>
      </c>
      <c r="AL50"/>
    </row>
    <row r="51" spans="1:38" x14ac:dyDescent="0.25">
      <c r="A51" s="232">
        <v>5</v>
      </c>
      <c r="B51" s="232" t="s">
        <v>98</v>
      </c>
      <c r="C51" s="232">
        <v>3</v>
      </c>
      <c r="D51" s="232" t="s">
        <v>253</v>
      </c>
      <c r="E51" s="232">
        <v>24</v>
      </c>
      <c r="F51" s="232" t="s">
        <v>173</v>
      </c>
      <c r="G51" s="272"/>
      <c r="H51" s="273">
        <v>4.2430806159973145</v>
      </c>
      <c r="I51" s="273">
        <v>2.2809364795684814</v>
      </c>
      <c r="J51" s="273">
        <v>4.3966169357299805</v>
      </c>
      <c r="K51" s="274">
        <f>IF(AND(H51&gt;=H$3, H51&lt;=H$4),1,0)</f>
        <v>1</v>
      </c>
      <c r="L51" s="274">
        <f>IF(AND(I51&gt;=I$3, I51&lt;=I$4),1,0)</f>
        <v>1</v>
      </c>
      <c r="M51" s="274">
        <f>IF(AND(J51&gt;=J$3, J51&lt;=J$4),1,0)</f>
        <v>1</v>
      </c>
      <c r="N51" s="275">
        <f>SUM(K51:M51)</f>
        <v>3</v>
      </c>
      <c r="O51" s="274">
        <f>IF(COUNT(H51:J51)&lt;N$1,0,1)</f>
        <v>1</v>
      </c>
      <c r="P51" s="276">
        <f t="shared" si="3"/>
        <v>3</v>
      </c>
      <c r="Q51" s="277">
        <f t="shared" si="4"/>
        <v>10.920634031295776</v>
      </c>
      <c r="S51"/>
      <c r="X51"/>
      <c r="Z51" s="283">
        <f t="shared" si="9"/>
        <v>24</v>
      </c>
      <c r="AA51" s="283">
        <f t="shared" si="10"/>
        <v>5</v>
      </c>
      <c r="AB51" s="283" t="str">
        <f t="shared" si="11"/>
        <v>Era Vandervoort</v>
      </c>
      <c r="AC51" s="283">
        <f t="shared" si="12"/>
        <v>3</v>
      </c>
      <c r="AD51" s="283" t="str">
        <f t="shared" si="13"/>
        <v>L</v>
      </c>
      <c r="AE51" s="284"/>
      <c r="AF51" s="285">
        <f>IF(AND(LEN(H51)&gt;0,$O51=1),H51*VLOOKUP($AA51,$S:$X,6,FALSE),"")</f>
        <v>4.8389964839986819</v>
      </c>
      <c r="AG51" s="285">
        <f>IF(AND(LEN(I51)&gt;0,$O51=1),I51*VLOOKUP($AA51,$S:$X,6,FALSE),"")</f>
        <v>2.6012806740561816</v>
      </c>
      <c r="AH51" s="285">
        <f>IF(AND(LEN(J51)&gt;0,$O51=1),J51*VLOOKUP($AA51,$S:$X,6,FALSE),"")</f>
        <v>5.0140960822837917</v>
      </c>
      <c r="AI51" s="285">
        <f t="shared" si="14"/>
        <v>12.454373240338654</v>
      </c>
      <c r="AL51"/>
    </row>
    <row r="52" spans="1:38" x14ac:dyDescent="0.25">
      <c r="A52" s="232">
        <v>6</v>
      </c>
      <c r="B52" s="232" t="s">
        <v>102</v>
      </c>
      <c r="C52" s="232">
        <v>4</v>
      </c>
      <c r="D52" s="232" t="s">
        <v>253</v>
      </c>
      <c r="E52" s="232">
        <v>4</v>
      </c>
      <c r="F52" s="232" t="s">
        <v>93</v>
      </c>
      <c r="G52" s="272"/>
      <c r="H52" s="273">
        <v>4.1118314266204834</v>
      </c>
      <c r="I52" s="273">
        <v>2.5294203758239746</v>
      </c>
      <c r="J52" s="273">
        <v>3.336956262588501</v>
      </c>
      <c r="K52" s="274">
        <f>IF(AND(H52&gt;=H$3, H52&lt;=H$4),1,0)</f>
        <v>1</v>
      </c>
      <c r="L52" s="274">
        <f>IF(AND(I52&gt;=I$3, I52&lt;=I$4),1,0)</f>
        <v>1</v>
      </c>
      <c r="M52" s="274">
        <f>IF(AND(J52&gt;=J$3, J52&lt;=J$4),1,0)</f>
        <v>1</v>
      </c>
      <c r="N52" s="275">
        <f>SUM(K52:M52)</f>
        <v>3</v>
      </c>
      <c r="O52" s="274">
        <f>IF(COUNT(H52:J52)&lt;N$1,0,1)</f>
        <v>1</v>
      </c>
      <c r="P52" s="276">
        <f t="shared" si="3"/>
        <v>3</v>
      </c>
      <c r="Q52" s="277">
        <f t="shared" si="4"/>
        <v>9.978208065032959</v>
      </c>
      <c r="S52"/>
      <c r="X52"/>
      <c r="Z52" s="283">
        <f t="shared" si="9"/>
        <v>4</v>
      </c>
      <c r="AA52" s="283">
        <f t="shared" si="10"/>
        <v>6</v>
      </c>
      <c r="AB52" s="283" t="str">
        <f t="shared" si="11"/>
        <v>Elmer Seawood</v>
      </c>
      <c r="AC52" s="283">
        <f t="shared" si="12"/>
        <v>4</v>
      </c>
      <c r="AD52" s="283" t="str">
        <f t="shared" si="13"/>
        <v>L</v>
      </c>
      <c r="AE52" s="284"/>
      <c r="AF52" s="285">
        <f>IF(AND(LEN(H52)&gt;0,$O52=1),H52*VLOOKUP($AA52,$S:$X,6,FALSE),"")</f>
        <v>5.2165318820229141</v>
      </c>
      <c r="AG52" s="285">
        <f>IF(AND(LEN(I52)&gt;0,$O52=1),I52*VLOOKUP($AA52,$S:$X,6,FALSE),"")</f>
        <v>3.2089841884322969</v>
      </c>
      <c r="AH52" s="285">
        <f>IF(AND(LEN(J52)&gt;0,$O52=1),J52*VLOOKUP($AA52,$S:$X,6,FALSE),"")</f>
        <v>4.2334757743257105</v>
      </c>
      <c r="AI52" s="285">
        <f t="shared" si="14"/>
        <v>12.658991844780921</v>
      </c>
      <c r="AL52"/>
    </row>
    <row r="53" spans="1:38" x14ac:dyDescent="0.25">
      <c r="A53" s="232">
        <v>6</v>
      </c>
      <c r="B53" s="232" t="s">
        <v>102</v>
      </c>
      <c r="C53" s="232">
        <v>4</v>
      </c>
      <c r="D53" s="232" t="s">
        <v>253</v>
      </c>
      <c r="E53" s="232">
        <v>5</v>
      </c>
      <c r="F53" s="232" t="s">
        <v>97</v>
      </c>
      <c r="G53" s="272"/>
      <c r="H53" s="273">
        <v>2.4834403991699219</v>
      </c>
      <c r="I53" s="273">
        <v>3.0867125988006592</v>
      </c>
      <c r="J53" s="273">
        <v>2.8987221717834473</v>
      </c>
      <c r="K53" s="274">
        <f>IF(AND(H53&gt;=H$3, H53&lt;=H$4),1,0)</f>
        <v>1</v>
      </c>
      <c r="L53" s="274">
        <f>IF(AND(I53&gt;=I$3, I53&lt;=I$4),1,0)</f>
        <v>1</v>
      </c>
      <c r="M53" s="274">
        <f>IF(AND(J53&gt;=J$3, J53&lt;=J$4),1,0)</f>
        <v>1</v>
      </c>
      <c r="N53" s="275">
        <f>SUM(K53:M53)</f>
        <v>3</v>
      </c>
      <c r="O53" s="274">
        <f>IF(COUNT(H53:J53)&lt;N$1,0,1)</f>
        <v>1</v>
      </c>
      <c r="P53" s="276">
        <f t="shared" si="3"/>
        <v>3</v>
      </c>
      <c r="Q53" s="277">
        <f t="shared" si="4"/>
        <v>8.4688751697540283</v>
      </c>
      <c r="Z53" s="283">
        <f t="shared" si="9"/>
        <v>5</v>
      </c>
      <c r="AA53" s="283">
        <f t="shared" si="10"/>
        <v>6</v>
      </c>
      <c r="AB53" s="283" t="str">
        <f t="shared" si="11"/>
        <v>Elmer Seawood</v>
      </c>
      <c r="AC53" s="283">
        <f t="shared" si="12"/>
        <v>4</v>
      </c>
      <c r="AD53" s="283" t="str">
        <f t="shared" si="13"/>
        <v>L</v>
      </c>
      <c r="AE53" s="284"/>
      <c r="AF53" s="285">
        <f>IF(AND(LEN(H53)&gt;0,$O53=1),H53*VLOOKUP($AA53,$S:$X,6,FALSE),"")</f>
        <v>3.15065105429706</v>
      </c>
      <c r="AG53" s="285">
        <f>IF(AND(LEN(I53)&gt;0,$O53=1),I53*VLOOKUP($AA53,$S:$X,6,FALSE),"")</f>
        <v>3.9160006847653364</v>
      </c>
      <c r="AH53" s="285">
        <f>IF(AND(LEN(J53)&gt;0,$O53=1),J53*VLOOKUP($AA53,$S:$X,6,FALSE),"")</f>
        <v>3.6775040261471132</v>
      </c>
      <c r="AI53" s="285">
        <f t="shared" si="14"/>
        <v>10.744155765209509</v>
      </c>
      <c r="AL53"/>
    </row>
    <row r="54" spans="1:38" x14ac:dyDescent="0.25">
      <c r="A54" s="232">
        <v>6</v>
      </c>
      <c r="B54" s="232" t="s">
        <v>102</v>
      </c>
      <c r="C54" s="232">
        <v>2</v>
      </c>
      <c r="D54" s="232" t="s">
        <v>253</v>
      </c>
      <c r="E54" s="232">
        <v>7</v>
      </c>
      <c r="F54" s="232" t="s">
        <v>105</v>
      </c>
      <c r="G54" s="272"/>
      <c r="H54" s="273">
        <v>3.347214937210083</v>
      </c>
      <c r="I54" s="273">
        <v>4.0981721878051758</v>
      </c>
      <c r="J54" s="273">
        <v>2.3059937953948975</v>
      </c>
      <c r="K54" s="274">
        <f>IF(AND(H54&gt;=H$3, H54&lt;=H$4),1,0)</f>
        <v>1</v>
      </c>
      <c r="L54" s="274">
        <f>IF(AND(I54&gt;=I$3, I54&lt;=I$4),1,0)</f>
        <v>1</v>
      </c>
      <c r="M54" s="274">
        <f>IF(AND(J54&gt;=J$3, J54&lt;=J$4),1,0)</f>
        <v>1</v>
      </c>
      <c r="N54" s="275">
        <f>SUM(K54:M54)</f>
        <v>3</v>
      </c>
      <c r="O54" s="274">
        <f>IF(COUNT(H54:J54)&lt;N$1,0,1)</f>
        <v>1</v>
      </c>
      <c r="P54" s="276">
        <f t="shared" si="3"/>
        <v>3</v>
      </c>
      <c r="Q54" s="277">
        <f t="shared" si="4"/>
        <v>9.7513809204101563</v>
      </c>
      <c r="Z54" s="283">
        <f t="shared" si="9"/>
        <v>7</v>
      </c>
      <c r="AA54" s="283">
        <f t="shared" si="10"/>
        <v>6</v>
      </c>
      <c r="AB54" s="283" t="str">
        <f t="shared" si="11"/>
        <v>Elmer Seawood</v>
      </c>
      <c r="AC54" s="283">
        <f t="shared" si="12"/>
        <v>2</v>
      </c>
      <c r="AD54" s="283" t="str">
        <f t="shared" si="13"/>
        <v>L</v>
      </c>
      <c r="AE54" s="284"/>
      <c r="AF54" s="285">
        <f>IF(AND(LEN(H54)&gt;0,$O54=1),H54*VLOOKUP($AA54,$S:$X,6,FALSE),"")</f>
        <v>4.2464905839514948</v>
      </c>
      <c r="AG54" s="285">
        <f>IF(AND(LEN(I54)&gt;0,$O54=1),I54*VLOOKUP($AA54,$S:$X,6,FALSE),"")</f>
        <v>5.1992028995400936</v>
      </c>
      <c r="AH54" s="285">
        <f>IF(AND(LEN(J54)&gt;0,$O54=1),J54*VLOOKUP($AA54,$S:$X,6,FALSE),"")</f>
        <v>2.9255309630510284</v>
      </c>
      <c r="AI54" s="285">
        <f t="shared" si="14"/>
        <v>12.371224446542616</v>
      </c>
      <c r="AL54"/>
    </row>
    <row r="55" spans="1:38" x14ac:dyDescent="0.25">
      <c r="A55" s="232">
        <v>6</v>
      </c>
      <c r="B55" s="232" t="s">
        <v>102</v>
      </c>
      <c r="C55" s="232">
        <v>1</v>
      </c>
      <c r="D55" s="232" t="s">
        <v>254</v>
      </c>
      <c r="E55" s="232">
        <v>8</v>
      </c>
      <c r="F55" s="232" t="s">
        <v>109</v>
      </c>
      <c r="G55" s="272"/>
      <c r="H55" s="273">
        <v>2.0504488945007324</v>
      </c>
      <c r="I55" s="273">
        <v>4.4633238315582275</v>
      </c>
      <c r="J55" s="273">
        <v>2.0359783172607422</v>
      </c>
      <c r="K55" s="274">
        <f>IF(AND(H55&gt;=H$3, H55&lt;=H$4),1,0)</f>
        <v>1</v>
      </c>
      <c r="L55" s="274">
        <f>IF(AND(I55&gt;=I$3, I55&lt;=I$4),1,0)</f>
        <v>1</v>
      </c>
      <c r="M55" s="274">
        <f>IF(AND(J55&gt;=J$3, J55&lt;=J$4),1,0)</f>
        <v>1</v>
      </c>
      <c r="N55" s="275">
        <f>SUM(K55:M55)</f>
        <v>3</v>
      </c>
      <c r="O55" s="274">
        <f>IF(COUNT(H55:J55)&lt;N$1,0,1)</f>
        <v>1</v>
      </c>
      <c r="P55" s="276">
        <f t="shared" si="3"/>
        <v>3</v>
      </c>
      <c r="Q55" s="277">
        <f t="shared" si="4"/>
        <v>8.5497510433197021</v>
      </c>
      <c r="Z55" s="283">
        <f t="shared" si="9"/>
        <v>8</v>
      </c>
      <c r="AA55" s="283">
        <f t="shared" si="10"/>
        <v>6</v>
      </c>
      <c r="AB55" s="283" t="str">
        <f t="shared" si="11"/>
        <v>Elmer Seawood</v>
      </c>
      <c r="AC55" s="283">
        <f t="shared" si="12"/>
        <v>1</v>
      </c>
      <c r="AD55" s="283" t="str">
        <f t="shared" si="13"/>
        <v>M</v>
      </c>
      <c r="AE55" s="284"/>
      <c r="AF55" s="285">
        <f>IF(AND(LEN(H55)&gt;0,$O55=1),H55*VLOOKUP($AA55,$S:$X,6,FALSE),"")</f>
        <v>2.6013303856216083</v>
      </c>
      <c r="AG55" s="285">
        <f>IF(AND(LEN(I55)&gt;0,$O55=1),I55*VLOOKUP($AA55,$S:$X,6,FALSE),"")</f>
        <v>5.6624575891849087</v>
      </c>
      <c r="AH55" s="285">
        <f>IF(AND(LEN(J55)&gt;0,$O55=1),J55*VLOOKUP($AA55,$S:$X,6,FALSE),"")</f>
        <v>2.5829720874105053</v>
      </c>
      <c r="AI55" s="285">
        <f t="shared" si="14"/>
        <v>10.846760062217022</v>
      </c>
      <c r="AL55"/>
    </row>
    <row r="56" spans="1:38" x14ac:dyDescent="0.25">
      <c r="A56" s="232">
        <v>6</v>
      </c>
      <c r="B56" s="232" t="s">
        <v>102</v>
      </c>
      <c r="C56" s="232">
        <v>3</v>
      </c>
      <c r="D56" s="232" t="s">
        <v>253</v>
      </c>
      <c r="E56" s="232">
        <v>17</v>
      </c>
      <c r="F56" s="232" t="s">
        <v>145</v>
      </c>
      <c r="G56" s="272"/>
      <c r="H56" s="273">
        <v>1.6341769695281982</v>
      </c>
      <c r="I56" s="273">
        <v>1.6410946846008301</v>
      </c>
      <c r="J56" s="273">
        <v>1.9658005237579346</v>
      </c>
      <c r="K56" s="274">
        <f>IF(AND(H56&gt;=H$3, H56&lt;=H$4),1,0)</f>
        <v>1</v>
      </c>
      <c r="L56" s="274">
        <f>IF(AND(I56&gt;=I$3, I56&lt;=I$4),1,0)</f>
        <v>1</v>
      </c>
      <c r="M56" s="274">
        <f>IF(AND(J56&gt;=J$3, J56&lt;=J$4),1,0)</f>
        <v>1</v>
      </c>
      <c r="N56" s="275">
        <f>SUM(K56:M56)</f>
        <v>3</v>
      </c>
      <c r="O56" s="274">
        <f>IF(COUNT(H56:J56)&lt;N$1,0,1)</f>
        <v>1</v>
      </c>
      <c r="P56" s="276">
        <f t="shared" si="3"/>
        <v>3</v>
      </c>
      <c r="Q56" s="277">
        <f t="shared" si="4"/>
        <v>5.2410721778869629</v>
      </c>
      <c r="Z56" s="283">
        <f t="shared" si="9"/>
        <v>17</v>
      </c>
      <c r="AA56" s="283">
        <f t="shared" si="10"/>
        <v>6</v>
      </c>
      <c r="AB56" s="283" t="str">
        <f t="shared" si="11"/>
        <v>Elmer Seawood</v>
      </c>
      <c r="AC56" s="283">
        <f t="shared" si="12"/>
        <v>3</v>
      </c>
      <c r="AD56" s="283" t="str">
        <f t="shared" si="13"/>
        <v>L</v>
      </c>
      <c r="AE56" s="284"/>
      <c r="AF56" s="285">
        <f>IF(AND(LEN(H56)&gt;0,$O56=1),H56*VLOOKUP($AA56,$S:$X,6,FALSE),"")</f>
        <v>2.0732212432691872</v>
      </c>
      <c r="AG56" s="285">
        <f>IF(AND(LEN(I56)&gt;0,$O56=1),I56*VLOOKUP($AA56,$S:$X,6,FALSE),"")</f>
        <v>2.0819974982959635</v>
      </c>
      <c r="AH56" s="285">
        <f>IF(AND(LEN(J56)&gt;0,$O56=1),J56*VLOOKUP($AA56,$S:$X,6,FALSE),"")</f>
        <v>2.4939400578269622</v>
      </c>
      <c r="AI56" s="285">
        <f t="shared" si="14"/>
        <v>6.6491587993921124</v>
      </c>
      <c r="AL56"/>
    </row>
    <row r="57" spans="1:38" x14ac:dyDescent="0.25">
      <c r="A57" s="232">
        <v>6</v>
      </c>
      <c r="B57" s="232" t="s">
        <v>102</v>
      </c>
      <c r="C57" s="232">
        <v>4</v>
      </c>
      <c r="D57" s="232" t="s">
        <v>253</v>
      </c>
      <c r="E57" s="232">
        <v>19</v>
      </c>
      <c r="F57" s="232" t="s">
        <v>153</v>
      </c>
      <c r="G57" s="272"/>
      <c r="H57" s="273">
        <v>1.7053060531616211</v>
      </c>
      <c r="I57" s="273">
        <v>3.0959203243255615</v>
      </c>
      <c r="J57" s="273">
        <v>4.8466849327087402</v>
      </c>
      <c r="K57" s="274">
        <f>IF(AND(H57&gt;=H$3, H57&lt;=H$4),1,0)</f>
        <v>1</v>
      </c>
      <c r="L57" s="274">
        <f>IF(AND(I57&gt;=I$3, I57&lt;=I$4),1,0)</f>
        <v>1</v>
      </c>
      <c r="M57" s="274">
        <f>IF(AND(J57&gt;=J$3, J57&lt;=J$4),1,0)</f>
        <v>1</v>
      </c>
      <c r="N57" s="275">
        <f>SUM(K57:M57)</f>
        <v>3</v>
      </c>
      <c r="O57" s="274">
        <f>IF(COUNT(H57:J57)&lt;N$1,0,1)</f>
        <v>1</v>
      </c>
      <c r="P57" s="276">
        <f t="shared" si="3"/>
        <v>3</v>
      </c>
      <c r="Q57" s="277">
        <f t="shared" si="4"/>
        <v>9.6479113101959229</v>
      </c>
      <c r="Z57" s="283">
        <f t="shared" si="9"/>
        <v>19</v>
      </c>
      <c r="AA57" s="283">
        <f t="shared" si="10"/>
        <v>6</v>
      </c>
      <c r="AB57" s="283" t="str">
        <f t="shared" si="11"/>
        <v>Elmer Seawood</v>
      </c>
      <c r="AC57" s="283">
        <f t="shared" si="12"/>
        <v>4</v>
      </c>
      <c r="AD57" s="283" t="str">
        <f t="shared" si="13"/>
        <v>L</v>
      </c>
      <c r="AE57" s="284"/>
      <c r="AF57" s="285">
        <f>IF(AND(LEN(H57)&gt;0,$O57=1),H57*VLOOKUP($AA57,$S:$X,6,FALSE),"")</f>
        <v>2.1634601402508635</v>
      </c>
      <c r="AG57" s="285">
        <f>IF(AND(LEN(I57)&gt;0,$O57=1),I57*VLOOKUP($AA57,$S:$X,6,FALSE),"")</f>
        <v>3.9276821932655639</v>
      </c>
      <c r="AH57" s="285">
        <f>IF(AND(LEN(J57)&gt;0,$O57=1),J57*VLOOKUP($AA57,$S:$X,6,FALSE),"")</f>
        <v>6.1488139591304316</v>
      </c>
      <c r="AI57" s="285">
        <f t="shared" si="14"/>
        <v>12.239956292646859</v>
      </c>
      <c r="AL57"/>
    </row>
    <row r="58" spans="1:38" x14ac:dyDescent="0.25">
      <c r="A58" s="232">
        <v>6</v>
      </c>
      <c r="B58" s="232" t="s">
        <v>102</v>
      </c>
      <c r="C58" s="232">
        <v>3</v>
      </c>
      <c r="D58" s="232" t="s">
        <v>254</v>
      </c>
      <c r="E58" s="232">
        <v>20</v>
      </c>
      <c r="F58" s="232" t="s">
        <v>157</v>
      </c>
      <c r="G58" s="272"/>
      <c r="H58" s="273">
        <v>2.5765688419342041</v>
      </c>
      <c r="I58" s="273">
        <v>2.1903839111328125</v>
      </c>
      <c r="J58" s="273">
        <v>3.6885383129119873</v>
      </c>
      <c r="K58" s="274">
        <f>IF(AND(H58&gt;=H$3, H58&lt;=H$4),1,0)</f>
        <v>1</v>
      </c>
      <c r="L58" s="274">
        <f>IF(AND(I58&gt;=I$3, I58&lt;=I$4),1,0)</f>
        <v>1</v>
      </c>
      <c r="M58" s="274">
        <f>IF(AND(J58&gt;=J$3, J58&lt;=J$4),1,0)</f>
        <v>1</v>
      </c>
      <c r="N58" s="275">
        <f>SUM(K58:M58)</f>
        <v>3</v>
      </c>
      <c r="O58" s="274">
        <f>IF(COUNT(H58:J58)&lt;N$1,0,1)</f>
        <v>1</v>
      </c>
      <c r="P58" s="276">
        <f t="shared" si="3"/>
        <v>3</v>
      </c>
      <c r="Q58" s="277">
        <f t="shared" si="4"/>
        <v>8.4554910659790039</v>
      </c>
      <c r="Z58" s="283">
        <f t="shared" si="9"/>
        <v>20</v>
      </c>
      <c r="AA58" s="283">
        <f t="shared" si="10"/>
        <v>6</v>
      </c>
      <c r="AB58" s="283" t="str">
        <f t="shared" si="11"/>
        <v>Elmer Seawood</v>
      </c>
      <c r="AC58" s="283">
        <f t="shared" si="12"/>
        <v>3</v>
      </c>
      <c r="AD58" s="283" t="str">
        <f t="shared" si="13"/>
        <v>M</v>
      </c>
      <c r="AE58" s="284"/>
      <c r="AF58" s="285">
        <f>IF(AND(LEN(H58)&gt;0,$O58=1),H58*VLOOKUP($AA58,$S:$X,6,FALSE),"")</f>
        <v>3.2687997428979227</v>
      </c>
      <c r="AG58" s="285">
        <f>IF(AND(LEN(I58)&gt;0,$O58=1),I58*VLOOKUP($AA58,$S:$X,6,FALSE),"")</f>
        <v>2.7788608823600458</v>
      </c>
      <c r="AH58" s="285">
        <f>IF(AND(LEN(J58)&gt;0,$O58=1),J58*VLOOKUP($AA58,$S:$X,6,FALSE),"")</f>
        <v>4.6795152113477796</v>
      </c>
      <c r="AI58" s="285">
        <f t="shared" si="14"/>
        <v>10.727175836605749</v>
      </c>
      <c r="AL58"/>
    </row>
    <row r="59" spans="1:38" x14ac:dyDescent="0.25">
      <c r="A59" s="232">
        <v>6</v>
      </c>
      <c r="B59" s="232" t="s">
        <v>102</v>
      </c>
      <c r="C59" s="232">
        <v>2</v>
      </c>
      <c r="D59" s="232" t="s">
        <v>253</v>
      </c>
      <c r="E59" s="232">
        <v>24</v>
      </c>
      <c r="F59" s="232" t="s">
        <v>173</v>
      </c>
      <c r="G59" s="272"/>
      <c r="H59" s="273">
        <v>1.9252762794494629</v>
      </c>
      <c r="I59" s="273">
        <v>3.7714588642120361</v>
      </c>
      <c r="J59" s="273">
        <v>2.3137216567993164</v>
      </c>
      <c r="K59" s="274">
        <f>IF(AND(H59&gt;=H$3, H59&lt;=H$4),1,0)</f>
        <v>1</v>
      </c>
      <c r="L59" s="274">
        <f>IF(AND(I59&gt;=I$3, I59&lt;=I$4),1,0)</f>
        <v>1</v>
      </c>
      <c r="M59" s="274">
        <f>IF(AND(J59&gt;=J$3, J59&lt;=J$4),1,0)</f>
        <v>1</v>
      </c>
      <c r="N59" s="275">
        <f>SUM(K59:M59)</f>
        <v>3</v>
      </c>
      <c r="O59" s="274">
        <f>IF(COUNT(H59:J59)&lt;N$1,0,1)</f>
        <v>1</v>
      </c>
      <c r="P59" s="276">
        <f t="shared" si="3"/>
        <v>3</v>
      </c>
      <c r="Q59" s="277">
        <f t="shared" si="4"/>
        <v>8.0104568004608154</v>
      </c>
      <c r="Z59" s="283">
        <f t="shared" si="9"/>
        <v>24</v>
      </c>
      <c r="AA59" s="283">
        <f t="shared" si="10"/>
        <v>6</v>
      </c>
      <c r="AB59" s="283" t="str">
        <f t="shared" si="11"/>
        <v>Elmer Seawood</v>
      </c>
      <c r="AC59" s="283">
        <f t="shared" si="12"/>
        <v>2</v>
      </c>
      <c r="AD59" s="283" t="str">
        <f t="shared" si="13"/>
        <v>L</v>
      </c>
      <c r="AE59" s="284"/>
      <c r="AF59" s="285">
        <f>IF(AND(LEN(H59)&gt;0,$O59=1),H59*VLOOKUP($AA59,$S:$X,6,FALSE),"")</f>
        <v>2.4425284140855807</v>
      </c>
      <c r="AG59" s="285">
        <f>IF(AND(LEN(I59)&gt;0,$O59=1),I59*VLOOKUP($AA59,$S:$X,6,FALSE),"")</f>
        <v>4.7847135170786981</v>
      </c>
      <c r="AH59" s="285">
        <f>IF(AND(LEN(J59)&gt;0,$O59=1),J59*VLOOKUP($AA59,$S:$X,6,FALSE),"")</f>
        <v>2.9353350214409266</v>
      </c>
      <c r="AI59" s="285">
        <f t="shared" si="14"/>
        <v>10.162576952605207</v>
      </c>
      <c r="AL59"/>
    </row>
    <row r="60" spans="1:38" x14ac:dyDescent="0.25">
      <c r="A60" s="232">
        <v>7</v>
      </c>
      <c r="B60" s="232" t="s">
        <v>106</v>
      </c>
      <c r="C60" s="232">
        <v>1</v>
      </c>
      <c r="D60" s="232" t="s">
        <v>254</v>
      </c>
      <c r="E60" s="232">
        <v>3</v>
      </c>
      <c r="F60" s="232" t="s">
        <v>89</v>
      </c>
      <c r="G60" s="272"/>
      <c r="H60" s="273">
        <v>1.1945016384124756</v>
      </c>
      <c r="I60" s="273">
        <v>4.779456615447998</v>
      </c>
      <c r="J60" s="273">
        <v>2.0927069187164307</v>
      </c>
      <c r="K60" s="274">
        <f>IF(AND(H60&gt;=H$3, H60&lt;=H$4),1,0)</f>
        <v>1</v>
      </c>
      <c r="L60" s="274">
        <f>IF(AND(I60&gt;=I$3, I60&lt;=I$4),1,0)</f>
        <v>1</v>
      </c>
      <c r="M60" s="274">
        <f>IF(AND(J60&gt;=J$3, J60&lt;=J$4),1,0)</f>
        <v>1</v>
      </c>
      <c r="N60" s="275">
        <f>SUM(K60:M60)</f>
        <v>3</v>
      </c>
      <c r="O60" s="274">
        <f>IF(COUNT(H60:J60)&lt;N$1,0,1)</f>
        <v>1</v>
      </c>
      <c r="P60" s="276">
        <f t="shared" si="3"/>
        <v>3</v>
      </c>
      <c r="Q60" s="277">
        <f t="shared" si="4"/>
        <v>8.0666651725769043</v>
      </c>
      <c r="Z60" s="283">
        <f t="shared" si="9"/>
        <v>3</v>
      </c>
      <c r="AA60" s="283">
        <f t="shared" si="10"/>
        <v>7</v>
      </c>
      <c r="AB60" s="283" t="str">
        <f t="shared" si="11"/>
        <v>Aldo Range</v>
      </c>
      <c r="AC60" s="283">
        <f t="shared" si="12"/>
        <v>1</v>
      </c>
      <c r="AD60" s="283" t="str">
        <f t="shared" si="13"/>
        <v>M</v>
      </c>
      <c r="AE60" s="284"/>
      <c r="AF60" s="285">
        <f>IF(AND(LEN(H60)&gt;0,$O60=1),H60*VLOOKUP($AA60,$S:$X,6,FALSE),"")</f>
        <v>1.5180149727939536</v>
      </c>
      <c r="AG60" s="285">
        <f>IF(AND(LEN(I60)&gt;0,$O60=1),I60*VLOOKUP($AA60,$S:$X,6,FALSE),"")</f>
        <v>6.0739026810475067</v>
      </c>
      <c r="AH60" s="285">
        <f>IF(AND(LEN(J60)&gt;0,$O60=1),J60*VLOOKUP($AA60,$S:$X,6,FALSE),"")</f>
        <v>2.659486043487592</v>
      </c>
      <c r="AI60" s="285">
        <f t="shared" si="14"/>
        <v>10.251403697329053</v>
      </c>
      <c r="AL60"/>
    </row>
    <row r="61" spans="1:38" x14ac:dyDescent="0.25">
      <c r="A61" s="232">
        <v>7</v>
      </c>
      <c r="B61" s="232" t="s">
        <v>106</v>
      </c>
      <c r="C61" s="232">
        <v>2</v>
      </c>
      <c r="D61" s="232" t="s">
        <v>253</v>
      </c>
      <c r="E61" s="232">
        <v>4</v>
      </c>
      <c r="F61" s="232" t="s">
        <v>93</v>
      </c>
      <c r="G61" s="272"/>
      <c r="H61" s="273">
        <v>3.6986103057861328</v>
      </c>
      <c r="I61" s="273">
        <v>4.9939372539520264</v>
      </c>
      <c r="J61" s="273">
        <v>2.5188450813293457</v>
      </c>
      <c r="K61" s="274">
        <f>IF(AND(H61&gt;=H$3, H61&lt;=H$4),1,0)</f>
        <v>1</v>
      </c>
      <c r="L61" s="274">
        <f>IF(AND(I61&gt;=I$3, I61&lt;=I$4),1,0)</f>
        <v>1</v>
      </c>
      <c r="M61" s="274">
        <f>IF(AND(J61&gt;=J$3, J61&lt;=J$4),1,0)</f>
        <v>1</v>
      </c>
      <c r="N61" s="275">
        <f>SUM(K61:M61)</f>
        <v>3</v>
      </c>
      <c r="O61" s="274">
        <f>IF(COUNT(H61:J61)&lt;N$1,0,1)</f>
        <v>1</v>
      </c>
      <c r="P61" s="276">
        <f t="shared" si="3"/>
        <v>3</v>
      </c>
      <c r="Q61" s="277">
        <f t="shared" si="4"/>
        <v>11.211392641067505</v>
      </c>
      <c r="Z61" s="283">
        <f t="shared" si="9"/>
        <v>4</v>
      </c>
      <c r="AA61" s="283">
        <f t="shared" si="10"/>
        <v>7</v>
      </c>
      <c r="AB61" s="283" t="str">
        <f t="shared" si="11"/>
        <v>Aldo Range</v>
      </c>
      <c r="AC61" s="283">
        <f t="shared" si="12"/>
        <v>2</v>
      </c>
      <c r="AD61" s="283" t="str">
        <f t="shared" si="13"/>
        <v>L</v>
      </c>
      <c r="AE61" s="284"/>
      <c r="AF61" s="285">
        <f>IF(AND(LEN(H61)&gt;0,$O61=1),H61*VLOOKUP($AA61,$S:$X,6,FALSE),"")</f>
        <v>4.7003249239366918</v>
      </c>
      <c r="AG61" s="285">
        <f>IF(AND(LEN(I61)&gt;0,$O61=1),I61*VLOOKUP($AA61,$S:$X,6,FALSE),"")</f>
        <v>6.3464722700321081</v>
      </c>
      <c r="AH61" s="285">
        <f>IF(AND(LEN(J61)&gt;0,$O61=1),J61*VLOOKUP($AA61,$S:$X,6,FALSE),"")</f>
        <v>3.2010375077325768</v>
      </c>
      <c r="AI61" s="285">
        <f t="shared" si="14"/>
        <v>14.247834701701377</v>
      </c>
      <c r="AL61"/>
    </row>
    <row r="62" spans="1:38" x14ac:dyDescent="0.25">
      <c r="A62" s="232">
        <v>7</v>
      </c>
      <c r="B62" s="232" t="s">
        <v>106</v>
      </c>
      <c r="C62" s="232">
        <v>4</v>
      </c>
      <c r="D62" s="232" t="s">
        <v>253</v>
      </c>
      <c r="E62" s="232">
        <v>7</v>
      </c>
      <c r="F62" s="232" t="s">
        <v>105</v>
      </c>
      <c r="G62" s="272"/>
      <c r="H62" s="273">
        <v>2.4614555835723877</v>
      </c>
      <c r="I62" s="273">
        <v>2.8316221237182617</v>
      </c>
      <c r="J62" s="273">
        <v>3.8771283626556396</v>
      </c>
      <c r="K62" s="274">
        <f>IF(AND(H62&gt;=H$3, H62&lt;=H$4),1,0)</f>
        <v>1</v>
      </c>
      <c r="L62" s="274">
        <f>IF(AND(I62&gt;=I$3, I62&lt;=I$4),1,0)</f>
        <v>1</v>
      </c>
      <c r="M62" s="274">
        <f>IF(AND(J62&gt;=J$3, J62&lt;=J$4),1,0)</f>
        <v>1</v>
      </c>
      <c r="N62" s="275">
        <f>SUM(K62:M62)</f>
        <v>3</v>
      </c>
      <c r="O62" s="274">
        <f>IF(COUNT(H62:J62)&lt;N$1,0,1)</f>
        <v>1</v>
      </c>
      <c r="P62" s="276">
        <f t="shared" si="3"/>
        <v>3</v>
      </c>
      <c r="Q62" s="277">
        <f t="shared" si="4"/>
        <v>9.1702060699462891</v>
      </c>
      <c r="Z62" s="283">
        <f t="shared" si="9"/>
        <v>7</v>
      </c>
      <c r="AA62" s="283">
        <f t="shared" si="10"/>
        <v>7</v>
      </c>
      <c r="AB62" s="283" t="str">
        <f t="shared" si="11"/>
        <v>Aldo Range</v>
      </c>
      <c r="AC62" s="283">
        <f t="shared" si="12"/>
        <v>4</v>
      </c>
      <c r="AD62" s="283" t="str">
        <f t="shared" si="13"/>
        <v>L</v>
      </c>
      <c r="AE62" s="284"/>
      <c r="AF62" s="285">
        <f>IF(AND(LEN(H62)&gt;0,$O62=1),H62*VLOOKUP($AA62,$S:$X,6,FALSE),"")</f>
        <v>3.128104902138189</v>
      </c>
      <c r="AG62" s="285">
        <f>IF(AND(LEN(I62)&gt;0,$O62=1),I62*VLOOKUP($AA62,$S:$X,6,FALSE),"")</f>
        <v>3.5985256469063378</v>
      </c>
      <c r="AH62" s="285">
        <f>IF(AND(LEN(J62)&gt;0,$O62=1),J62*VLOOKUP($AA62,$S:$X,6,FALSE),"")</f>
        <v>4.9271919909439426</v>
      </c>
      <c r="AI62" s="285">
        <f t="shared" si="14"/>
        <v>11.65382253998847</v>
      </c>
      <c r="AL62"/>
    </row>
    <row r="63" spans="1:38" x14ac:dyDescent="0.25">
      <c r="A63" s="232">
        <v>7</v>
      </c>
      <c r="B63" s="232" t="s">
        <v>106</v>
      </c>
      <c r="C63" s="232">
        <v>2</v>
      </c>
      <c r="D63" s="232" t="s">
        <v>253</v>
      </c>
      <c r="E63" s="232">
        <v>8</v>
      </c>
      <c r="F63" s="232" t="s">
        <v>109</v>
      </c>
      <c r="G63" s="272"/>
      <c r="H63" s="273">
        <v>2.0225920677185059</v>
      </c>
      <c r="I63" s="273">
        <v>4.4902536869049072</v>
      </c>
      <c r="J63" s="273">
        <v>4.1251106262207031</v>
      </c>
      <c r="K63" s="274">
        <f>IF(AND(H63&gt;=H$3, H63&lt;=H$4),1,0)</f>
        <v>1</v>
      </c>
      <c r="L63" s="274">
        <f>IF(AND(I63&gt;=I$3, I63&lt;=I$4),1,0)</f>
        <v>1</v>
      </c>
      <c r="M63" s="274">
        <f>IF(AND(J63&gt;=J$3, J63&lt;=J$4),1,0)</f>
        <v>1</v>
      </c>
      <c r="N63" s="275">
        <f>SUM(K63:M63)</f>
        <v>3</v>
      </c>
      <c r="O63" s="274">
        <f>IF(COUNT(H63:J63)&lt;N$1,0,1)</f>
        <v>1</v>
      </c>
      <c r="P63" s="276">
        <f t="shared" si="3"/>
        <v>3</v>
      </c>
      <c r="Q63" s="277">
        <f t="shared" si="4"/>
        <v>10.637956380844116</v>
      </c>
      <c r="Z63" s="283">
        <f t="shared" si="9"/>
        <v>8</v>
      </c>
      <c r="AA63" s="283">
        <f t="shared" si="10"/>
        <v>7</v>
      </c>
      <c r="AB63" s="283" t="str">
        <f t="shared" si="11"/>
        <v>Aldo Range</v>
      </c>
      <c r="AC63" s="283">
        <f t="shared" si="12"/>
        <v>2</v>
      </c>
      <c r="AD63" s="283" t="str">
        <f t="shared" si="13"/>
        <v>L</v>
      </c>
      <c r="AE63" s="284"/>
      <c r="AF63" s="285">
        <f>IF(AND(LEN(H63)&gt;0,$O63=1),H63*VLOOKUP($AA63,$S:$X,6,FALSE),"")</f>
        <v>2.5703816084601758</v>
      </c>
      <c r="AG63" s="285">
        <f>IF(AND(LEN(I63)&gt;0,$O63=1),I63*VLOOKUP($AA63,$S:$X,6,FALSE),"")</f>
        <v>5.7063733603780653</v>
      </c>
      <c r="AH63" s="285">
        <f>IF(AND(LEN(J63)&gt;0,$O63=1),J63*VLOOKUP($AA63,$S:$X,6,FALSE),"")</f>
        <v>5.2423366311634423</v>
      </c>
      <c r="AI63" s="285">
        <f t="shared" si="14"/>
        <v>13.519091600001683</v>
      </c>
      <c r="AL63"/>
    </row>
    <row r="64" spans="1:38" x14ac:dyDescent="0.25">
      <c r="A64" s="232">
        <v>7</v>
      </c>
      <c r="B64" s="232" t="s">
        <v>106</v>
      </c>
      <c r="C64" s="232">
        <v>3</v>
      </c>
      <c r="D64" s="232" t="s">
        <v>253</v>
      </c>
      <c r="E64" s="232">
        <v>9</v>
      </c>
      <c r="F64" s="232" t="s">
        <v>113</v>
      </c>
      <c r="G64" s="272"/>
      <c r="H64" s="273">
        <v>2.8570144176483154</v>
      </c>
      <c r="I64" s="273">
        <v>1.5018792152404785</v>
      </c>
      <c r="J64" s="273">
        <v>1.7955563068389893</v>
      </c>
      <c r="K64" s="274">
        <f>IF(AND(H64&gt;=H$3, H64&lt;=H$4),1,0)</f>
        <v>1</v>
      </c>
      <c r="L64" s="274">
        <f>IF(AND(I64&gt;=I$3, I64&lt;=I$4),1,0)</f>
        <v>1</v>
      </c>
      <c r="M64" s="274">
        <f>IF(AND(J64&gt;=J$3, J64&lt;=J$4),1,0)</f>
        <v>1</v>
      </c>
      <c r="N64" s="275">
        <f>SUM(K64:M64)</f>
        <v>3</v>
      </c>
      <c r="O64" s="274">
        <f>IF(COUNT(H64:J64)&lt;N$1,0,1)</f>
        <v>1</v>
      </c>
      <c r="P64" s="276">
        <f t="shared" si="3"/>
        <v>3</v>
      </c>
      <c r="Q64" s="277">
        <f t="shared" si="4"/>
        <v>6.1544499397277832</v>
      </c>
      <c r="Z64" s="283">
        <f t="shared" si="9"/>
        <v>9</v>
      </c>
      <c r="AA64" s="283">
        <f t="shared" si="10"/>
        <v>7</v>
      </c>
      <c r="AB64" s="283" t="str">
        <f t="shared" si="11"/>
        <v>Aldo Range</v>
      </c>
      <c r="AC64" s="283">
        <f t="shared" si="12"/>
        <v>3</v>
      </c>
      <c r="AD64" s="283" t="str">
        <f t="shared" si="13"/>
        <v>L</v>
      </c>
      <c r="AE64" s="284"/>
      <c r="AF64" s="285">
        <f>IF(AND(LEN(H64)&gt;0,$O64=1),H64*VLOOKUP($AA64,$S:$X,6,FALSE),"")</f>
        <v>3.6307950730334007</v>
      </c>
      <c r="AG64" s="285">
        <f>IF(AND(LEN(I64)&gt;0,$O64=1),I64*VLOOKUP($AA64,$S:$X,6,FALSE),"")</f>
        <v>1.9086412799676811</v>
      </c>
      <c r="AH64" s="285">
        <f>IF(AND(LEN(J64)&gt;0,$O64=1),J64*VLOOKUP($AA64,$S:$X,6,FALSE),"")</f>
        <v>2.2818565254533287</v>
      </c>
      <c r="AI64" s="285">
        <f t="shared" si="14"/>
        <v>7.8212928784544111</v>
      </c>
      <c r="AL64"/>
    </row>
    <row r="65" spans="1:38" x14ac:dyDescent="0.25">
      <c r="A65" s="232">
        <v>7</v>
      </c>
      <c r="B65" s="232" t="s">
        <v>106</v>
      </c>
      <c r="C65" s="232">
        <v>4</v>
      </c>
      <c r="D65" s="232" t="s">
        <v>253</v>
      </c>
      <c r="E65" s="232">
        <v>13</v>
      </c>
      <c r="F65" s="232" t="s">
        <v>129</v>
      </c>
      <c r="G65" s="272"/>
      <c r="H65" s="273">
        <v>1.979710578918457</v>
      </c>
      <c r="I65" s="273">
        <v>4.9816911220550537</v>
      </c>
      <c r="J65" s="273">
        <v>1.0624194145202637</v>
      </c>
      <c r="K65" s="274">
        <f>IF(AND(H65&gt;=H$3, H65&lt;=H$4),1,0)</f>
        <v>1</v>
      </c>
      <c r="L65" s="274">
        <f>IF(AND(I65&gt;=I$3, I65&lt;=I$4),1,0)</f>
        <v>1</v>
      </c>
      <c r="M65" s="274">
        <f>IF(AND(J65&gt;=J$3, J65&lt;=J$4),1,0)</f>
        <v>1</v>
      </c>
      <c r="N65" s="275">
        <f>SUM(K65:M65)</f>
        <v>3</v>
      </c>
      <c r="O65" s="274">
        <f>IF(COUNT(H65:J65)&lt;N$1,0,1)</f>
        <v>1</v>
      </c>
      <c r="P65" s="276">
        <f t="shared" si="3"/>
        <v>3</v>
      </c>
      <c r="Q65" s="277">
        <f t="shared" si="4"/>
        <v>8.0238211154937744</v>
      </c>
      <c r="Z65" s="283">
        <f t="shared" si="9"/>
        <v>13</v>
      </c>
      <c r="AA65" s="283">
        <f t="shared" si="10"/>
        <v>7</v>
      </c>
      <c r="AB65" s="283" t="str">
        <f t="shared" si="11"/>
        <v>Aldo Range</v>
      </c>
      <c r="AC65" s="283">
        <f t="shared" si="12"/>
        <v>4</v>
      </c>
      <c r="AD65" s="283" t="str">
        <f t="shared" si="13"/>
        <v>L</v>
      </c>
      <c r="AE65" s="284"/>
      <c r="AF65" s="285">
        <f>IF(AND(LEN(H65)&gt;0,$O65=1),H65*VLOOKUP($AA65,$S:$X,6,FALSE),"")</f>
        <v>2.5158862942966196</v>
      </c>
      <c r="AG65" s="285">
        <f>IF(AND(LEN(I65)&gt;0,$O65=1),I65*VLOOKUP($AA65,$S:$X,6,FALSE),"")</f>
        <v>6.3309094520496059</v>
      </c>
      <c r="AH65" s="285">
        <f>IF(AND(LEN(J65)&gt;0,$O65=1),J65*VLOOKUP($AA65,$S:$X,6,FALSE),"")</f>
        <v>1.350160206370381</v>
      </c>
      <c r="AI65" s="285">
        <f t="shared" si="14"/>
        <v>10.196955952716607</v>
      </c>
      <c r="AL65"/>
    </row>
    <row r="66" spans="1:38" x14ac:dyDescent="0.25">
      <c r="A66" s="232">
        <v>7</v>
      </c>
      <c r="B66" s="232" t="s">
        <v>106</v>
      </c>
      <c r="C66" s="232">
        <v>2</v>
      </c>
      <c r="D66" s="232" t="s">
        <v>254</v>
      </c>
      <c r="E66" s="232">
        <v>15</v>
      </c>
      <c r="F66" s="232" t="s">
        <v>137</v>
      </c>
      <c r="G66" s="272"/>
      <c r="H66" s="273">
        <v>2.3102247714996338</v>
      </c>
      <c r="I66" s="273">
        <v>3.8468379974365234</v>
      </c>
      <c r="J66" s="273">
        <v>2.1469104290008545</v>
      </c>
      <c r="K66" s="274">
        <f>IF(AND(H66&gt;=H$3, H66&lt;=H$4),1,0)</f>
        <v>1</v>
      </c>
      <c r="L66" s="274">
        <f>IF(AND(I66&gt;=I$3, I66&lt;=I$4),1,0)</f>
        <v>1</v>
      </c>
      <c r="M66" s="274">
        <f>IF(AND(J66&gt;=J$3, J66&lt;=J$4),1,0)</f>
        <v>1</v>
      </c>
      <c r="N66" s="275">
        <f>SUM(K66:M66)</f>
        <v>3</v>
      </c>
      <c r="O66" s="274">
        <f>IF(COUNT(H66:J66)&lt;N$1,0,1)</f>
        <v>1</v>
      </c>
      <c r="P66" s="276">
        <f t="shared" si="3"/>
        <v>3</v>
      </c>
      <c r="Q66" s="277">
        <f t="shared" si="4"/>
        <v>8.3039731979370117</v>
      </c>
      <c r="Z66" s="283">
        <f t="shared" si="9"/>
        <v>15</v>
      </c>
      <c r="AA66" s="283">
        <f t="shared" si="10"/>
        <v>7</v>
      </c>
      <c r="AB66" s="283" t="str">
        <f t="shared" si="11"/>
        <v>Aldo Range</v>
      </c>
      <c r="AC66" s="283">
        <f t="shared" si="12"/>
        <v>2</v>
      </c>
      <c r="AD66" s="283" t="str">
        <f t="shared" si="13"/>
        <v>M</v>
      </c>
      <c r="AE66" s="284"/>
      <c r="AF66" s="285">
        <f>IF(AND(LEN(H66)&gt;0,$O66=1),H66*VLOOKUP($AA66,$S:$X,6,FALSE),"")</f>
        <v>2.9359154319091365</v>
      </c>
      <c r="AG66" s="285">
        <f>IF(AND(LEN(I66)&gt;0,$O66=1),I66*VLOOKUP($AA66,$S:$X,6,FALSE),"")</f>
        <v>4.8886979224091132</v>
      </c>
      <c r="AH66" s="285">
        <f>IF(AND(LEN(J66)&gt;0,$O66=1),J66*VLOOKUP($AA66,$S:$X,6,FALSE),"")</f>
        <v>2.7283697834036804</v>
      </c>
      <c r="AI66" s="285">
        <f t="shared" si="14"/>
        <v>10.552983137721931</v>
      </c>
      <c r="AL66"/>
    </row>
    <row r="67" spans="1:38" x14ac:dyDescent="0.25">
      <c r="A67" s="232">
        <v>7</v>
      </c>
      <c r="B67" s="232" t="s">
        <v>106</v>
      </c>
      <c r="C67" s="232">
        <v>4</v>
      </c>
      <c r="D67" s="232" t="s">
        <v>254</v>
      </c>
      <c r="E67" s="232">
        <v>20</v>
      </c>
      <c r="F67" s="232" t="s">
        <v>157</v>
      </c>
      <c r="G67" s="272"/>
      <c r="H67" s="273">
        <v>2.2669568061828613</v>
      </c>
      <c r="I67" s="273">
        <v>1.5960266590118408</v>
      </c>
      <c r="J67" s="273">
        <v>2.2911901473999023</v>
      </c>
      <c r="K67" s="274">
        <f>IF(AND(H67&gt;=H$3, H67&lt;=H$4),1,0)</f>
        <v>1</v>
      </c>
      <c r="L67" s="274">
        <f>IF(AND(I67&gt;=I$3, I67&lt;=I$4),1,0)</f>
        <v>1</v>
      </c>
      <c r="M67" s="274">
        <f>IF(AND(J67&gt;=J$3, J67&lt;=J$4),1,0)</f>
        <v>1</v>
      </c>
      <c r="N67" s="275">
        <f>SUM(K67:M67)</f>
        <v>3</v>
      </c>
      <c r="O67" s="274">
        <f>IF(COUNT(H67:J67)&lt;N$1,0,1)</f>
        <v>1</v>
      </c>
      <c r="P67" s="276">
        <f t="shared" si="3"/>
        <v>3</v>
      </c>
      <c r="Q67" s="277">
        <f t="shared" si="4"/>
        <v>6.1541736125946045</v>
      </c>
      <c r="Z67" s="283">
        <f t="shared" si="9"/>
        <v>20</v>
      </c>
      <c r="AA67" s="283">
        <f t="shared" si="10"/>
        <v>7</v>
      </c>
      <c r="AB67" s="283" t="str">
        <f t="shared" si="11"/>
        <v>Aldo Range</v>
      </c>
      <c r="AC67" s="283">
        <f t="shared" si="12"/>
        <v>4</v>
      </c>
      <c r="AD67" s="283" t="str">
        <f t="shared" si="13"/>
        <v>M</v>
      </c>
      <c r="AE67" s="284"/>
      <c r="AF67" s="285">
        <f>IF(AND(LEN(H67)&gt;0,$O67=1),H67*VLOOKUP($AA67,$S:$X,6,FALSE),"")</f>
        <v>2.8809289697051312</v>
      </c>
      <c r="AG67" s="285">
        <f>IF(AND(LEN(I67)&gt;0,$O67=1),I67*VLOOKUP($AA67,$S:$X,6,FALSE),"")</f>
        <v>2.028287184752831</v>
      </c>
      <c r="AH67" s="285">
        <f>IF(AND(LEN(J67)&gt;0,$O67=1),J67*VLOOKUP($AA67,$S:$X,6,FALSE),"")</f>
        <v>2.9117255576923884</v>
      </c>
      <c r="AI67" s="285">
        <f t="shared" si="14"/>
        <v>7.8209417121503506</v>
      </c>
      <c r="AL67"/>
    </row>
    <row r="68" spans="1:38" x14ac:dyDescent="0.25">
      <c r="A68" s="232">
        <v>7</v>
      </c>
      <c r="B68" s="232" t="s">
        <v>106</v>
      </c>
      <c r="C68" s="232">
        <v>1</v>
      </c>
      <c r="D68" s="232" t="s">
        <v>253</v>
      </c>
      <c r="E68" s="232">
        <v>21</v>
      </c>
      <c r="F68" s="232" t="s">
        <v>161</v>
      </c>
      <c r="G68" s="272"/>
      <c r="H68" s="273">
        <v>2.9085805416107178</v>
      </c>
      <c r="I68" s="273">
        <v>4.6977667808532715</v>
      </c>
      <c r="J68" s="273">
        <v>1.1561357975006104</v>
      </c>
      <c r="K68" s="274">
        <f>IF(AND(H68&gt;=H$3, H68&lt;=H$4),1,0)</f>
        <v>1</v>
      </c>
      <c r="L68" s="274">
        <f>IF(AND(I68&gt;=I$3, I68&lt;=I$4),1,0)</f>
        <v>1</v>
      </c>
      <c r="M68" s="274">
        <f>IF(AND(J68&gt;=J$3, J68&lt;=J$4),1,0)</f>
        <v>1</v>
      </c>
      <c r="N68" s="275">
        <f>SUM(K68:M68)</f>
        <v>3</v>
      </c>
      <c r="O68" s="274">
        <f>IF(COUNT(H68:J68)&lt;N$1,0,1)</f>
        <v>1</v>
      </c>
      <c r="P68" s="276">
        <f t="shared" si="3"/>
        <v>3</v>
      </c>
      <c r="Q68" s="277">
        <f t="shared" si="4"/>
        <v>8.7624831199645996</v>
      </c>
      <c r="Z68" s="283">
        <f t="shared" si="9"/>
        <v>21</v>
      </c>
      <c r="AA68" s="283">
        <f t="shared" si="10"/>
        <v>7</v>
      </c>
      <c r="AB68" s="283" t="str">
        <f t="shared" si="11"/>
        <v>Aldo Range</v>
      </c>
      <c r="AC68" s="283">
        <f t="shared" si="12"/>
        <v>1</v>
      </c>
      <c r="AD68" s="283" t="str">
        <f t="shared" si="13"/>
        <v>L</v>
      </c>
      <c r="AE68" s="284"/>
      <c r="AF68" s="285">
        <f>IF(AND(LEN(H68)&gt;0,$O68=1),H68*VLOOKUP($AA68,$S:$X,6,FALSE),"")</f>
        <v>3.6963271290361948</v>
      </c>
      <c r="AG68" s="285">
        <f>IF(AND(LEN(I68)&gt;0,$O68=1),I68*VLOOKUP($AA68,$S:$X,6,FALSE),"")</f>
        <v>5.9700883470590957</v>
      </c>
      <c r="AH68" s="285">
        <f>IF(AND(LEN(J68)&gt;0,$O68=1),J68*VLOOKUP($AA68,$S:$X,6,FALSE),"")</f>
        <v>1.4692583038408289</v>
      </c>
      <c r="AI68" s="285">
        <f t="shared" si="14"/>
        <v>11.13567377993612</v>
      </c>
    </row>
    <row r="69" spans="1:38" x14ac:dyDescent="0.25">
      <c r="A69" s="232">
        <v>8</v>
      </c>
      <c r="B69" s="232" t="s">
        <v>110</v>
      </c>
      <c r="C69" s="232">
        <v>4</v>
      </c>
      <c r="D69" s="232" t="s">
        <v>253</v>
      </c>
      <c r="E69" s="232">
        <v>6</v>
      </c>
      <c r="F69" s="232" t="s">
        <v>101</v>
      </c>
      <c r="G69" s="272"/>
      <c r="H69" s="273">
        <v>4.0532455444335938</v>
      </c>
      <c r="I69" s="273">
        <v>1.2952659130096436</v>
      </c>
      <c r="J69" s="273">
        <v>3.5191559791564941</v>
      </c>
      <c r="K69" s="274">
        <f>IF(AND(H69&gt;=H$3, H69&lt;=H$4),1,0)</f>
        <v>1</v>
      </c>
      <c r="L69" s="274">
        <f>IF(AND(I69&gt;=I$3, I69&lt;=I$4),1,0)</f>
        <v>1</v>
      </c>
      <c r="M69" s="274">
        <f>IF(AND(J69&gt;=J$3, J69&lt;=J$4),1,0)</f>
        <v>1</v>
      </c>
      <c r="N69" s="275">
        <f>SUM(K69:M69)</f>
        <v>3</v>
      </c>
      <c r="O69" s="274">
        <f>IF(COUNT(H69:J69)&lt;N$1,0,1)</f>
        <v>1</v>
      </c>
      <c r="P69" s="276">
        <f t="shared" si="3"/>
        <v>3</v>
      </c>
      <c r="Q69" s="277">
        <f t="shared" si="4"/>
        <v>8.8676674365997314</v>
      </c>
      <c r="Z69" s="283">
        <f t="shared" si="9"/>
        <v>6</v>
      </c>
      <c r="AA69" s="283">
        <f t="shared" si="10"/>
        <v>8</v>
      </c>
      <c r="AB69" s="283" t="str">
        <f t="shared" si="11"/>
        <v>Dena Demas</v>
      </c>
      <c r="AC69" s="283">
        <f t="shared" si="12"/>
        <v>4</v>
      </c>
      <c r="AD69" s="283" t="str">
        <f t="shared" si="13"/>
        <v>L</v>
      </c>
      <c r="AE69" s="284"/>
      <c r="AF69" s="285">
        <f>IF(AND(LEN(H69)&gt;0,$O69=1),H69*VLOOKUP($AA69,$S:$X,6,FALSE),"")</f>
        <v>4.6133606534040359</v>
      </c>
      <c r="AG69" s="285">
        <f>IF(AND(LEN(I69)&gt;0,$O69=1),I69*VLOOKUP($AA69,$S:$X,6,FALSE),"")</f>
        <v>1.4742577850928529</v>
      </c>
      <c r="AH69" s="285">
        <f>IF(AND(LEN(J69)&gt;0,$O69=1),J69*VLOOKUP($AA69,$S:$X,6,FALSE),"")</f>
        <v>4.0054656322827942</v>
      </c>
      <c r="AI69" s="285">
        <f t="shared" si="14"/>
        <v>10.093084070779682</v>
      </c>
    </row>
    <row r="70" spans="1:38" x14ac:dyDescent="0.25">
      <c r="A70" s="232">
        <v>8</v>
      </c>
      <c r="B70" s="232" t="s">
        <v>110</v>
      </c>
      <c r="C70" s="232">
        <v>4</v>
      </c>
      <c r="D70" s="232" t="s">
        <v>253</v>
      </c>
      <c r="E70" s="232">
        <v>11</v>
      </c>
      <c r="F70" s="232" t="s">
        <v>121</v>
      </c>
      <c r="G70" s="272"/>
      <c r="H70" s="273">
        <v>3.7476322650909424</v>
      </c>
      <c r="I70" s="273">
        <v>4.1117639541625977</v>
      </c>
      <c r="J70" s="273">
        <v>2.6206872463226318</v>
      </c>
      <c r="K70" s="274">
        <f>IF(AND(H70&gt;=H$3, H70&lt;=H$4),1,0)</f>
        <v>1</v>
      </c>
      <c r="L70" s="274">
        <f>IF(AND(I70&gt;=I$3, I70&lt;=I$4),1,0)</f>
        <v>1</v>
      </c>
      <c r="M70" s="274">
        <f>IF(AND(J70&gt;=J$3, J70&lt;=J$4),1,0)</f>
        <v>1</v>
      </c>
      <c r="N70" s="275">
        <f>SUM(K70:M70)</f>
        <v>3</v>
      </c>
      <c r="O70" s="274">
        <f>IF(COUNT(H70:J70)&lt;N$1,0,1)</f>
        <v>1</v>
      </c>
      <c r="P70" s="276">
        <f t="shared" ref="P70:P104" si="16">N70*O70</f>
        <v>3</v>
      </c>
      <c r="Q70" s="277">
        <f t="shared" ref="Q70:Q104" si="17">IF(P70=N$1,SUM(H70:J70),"")</f>
        <v>10.480083465576172</v>
      </c>
      <c r="Z70" s="283">
        <f t="shared" ref="Z70:Z104" si="18">E70</f>
        <v>11</v>
      </c>
      <c r="AA70" s="283">
        <f t="shared" ref="AA70:AA104" si="19">A70</f>
        <v>8</v>
      </c>
      <c r="AB70" s="283" t="str">
        <f t="shared" ref="AB70:AB104" si="20">B70</f>
        <v>Dena Demas</v>
      </c>
      <c r="AC70" s="283">
        <f t="shared" ref="AC70:AC104" si="21">C70</f>
        <v>4</v>
      </c>
      <c r="AD70" s="283" t="str">
        <f t="shared" ref="AD70:AD104" si="22">D70</f>
        <v>L</v>
      </c>
      <c r="AE70" s="284"/>
      <c r="AF70" s="285">
        <f>IF(AND(LEN(H70)&gt;0,$O70=1),H70*VLOOKUP($AA70,$S:$X,6,FALSE),"")</f>
        <v>4.2655148931062383</v>
      </c>
      <c r="AG70" s="285">
        <f>IF(AND(LEN(I70)&gt;0,$O70=1),I70*VLOOKUP($AA70,$S:$X,6,FALSE),"")</f>
        <v>4.6799656804087073</v>
      </c>
      <c r="AH70" s="285">
        <f>IF(AND(LEN(J70)&gt;0,$O70=1),J70*VLOOKUP($AA70,$S:$X,6,FALSE),"")</f>
        <v>2.9828381464987461</v>
      </c>
      <c r="AI70" s="285">
        <f t="shared" ref="AI70:AI104" si="23">SUM(AF70:AH70)</f>
        <v>11.928318720013692</v>
      </c>
    </row>
    <row r="71" spans="1:38" x14ac:dyDescent="0.25">
      <c r="A71" s="232">
        <v>8</v>
      </c>
      <c r="B71" s="232" t="s">
        <v>110</v>
      </c>
      <c r="C71" s="232">
        <v>1</v>
      </c>
      <c r="D71" s="232" t="s">
        <v>254</v>
      </c>
      <c r="E71" s="232">
        <v>13</v>
      </c>
      <c r="F71" s="232" t="s">
        <v>129</v>
      </c>
      <c r="G71" s="272"/>
      <c r="H71" s="273">
        <v>4.0399622917175293</v>
      </c>
      <c r="I71" s="273">
        <v>1.6940023899078369</v>
      </c>
      <c r="J71" s="273">
        <v>4.7462863922119141</v>
      </c>
      <c r="K71" s="274">
        <f>IF(AND(H71&gt;=H$3, H71&lt;=H$4),1,0)</f>
        <v>1</v>
      </c>
      <c r="L71" s="274">
        <f>IF(AND(I71&gt;=I$3, I71&lt;=I$4),1,0)</f>
        <v>1</v>
      </c>
      <c r="M71" s="274">
        <f>IF(AND(J71&gt;=J$3, J71&lt;=J$4),1,0)</f>
        <v>1</v>
      </c>
      <c r="N71" s="275">
        <f>SUM(K71:M71)</f>
        <v>3</v>
      </c>
      <c r="O71" s="274">
        <f>IF(COUNT(H71:J71)&lt;N$1,0,1)</f>
        <v>1</v>
      </c>
      <c r="P71" s="276">
        <f t="shared" si="16"/>
        <v>3</v>
      </c>
      <c r="Q71" s="277">
        <f t="shared" si="17"/>
        <v>10.48025107383728</v>
      </c>
      <c r="Z71" s="283">
        <f t="shared" si="18"/>
        <v>13</v>
      </c>
      <c r="AA71" s="283">
        <f t="shared" si="19"/>
        <v>8</v>
      </c>
      <c r="AB71" s="283" t="str">
        <f t="shared" si="20"/>
        <v>Dena Demas</v>
      </c>
      <c r="AC71" s="283">
        <f t="shared" si="21"/>
        <v>1</v>
      </c>
      <c r="AD71" s="283" t="str">
        <f t="shared" si="22"/>
        <v>M</v>
      </c>
      <c r="AE71" s="284"/>
      <c r="AF71" s="285">
        <f>IF(AND(LEN(H71)&gt;0,$O71=1),H71*VLOOKUP($AA71,$S:$X,6,FALSE),"")</f>
        <v>4.5982417974754402</v>
      </c>
      <c r="AG71" s="285">
        <f>IF(AND(LEN(I71)&gt;0,$O71=1),I71*VLOOKUP($AA71,$S:$X,6,FALSE),"")</f>
        <v>1.9280953711540569</v>
      </c>
      <c r="AH71" s="285">
        <f>IF(AND(LEN(J71)&gt;0,$O71=1),J71*VLOOKUP($AA71,$S:$X,6,FALSE),"")</f>
        <v>5.4021723213112827</v>
      </c>
      <c r="AI71" s="285">
        <f t="shared" si="23"/>
        <v>11.92850948994078</v>
      </c>
    </row>
    <row r="72" spans="1:38" x14ac:dyDescent="0.25">
      <c r="A72" s="232">
        <v>8</v>
      </c>
      <c r="B72" s="232" t="s">
        <v>110</v>
      </c>
      <c r="C72" s="232">
        <v>3</v>
      </c>
      <c r="D72" s="232" t="s">
        <v>253</v>
      </c>
      <c r="E72" s="232">
        <v>14</v>
      </c>
      <c r="F72" s="232" t="s">
        <v>133</v>
      </c>
      <c r="G72" s="272"/>
      <c r="H72" s="273">
        <v>2.2962214946746826</v>
      </c>
      <c r="I72" s="273">
        <v>1.276054859161377</v>
      </c>
      <c r="J72" s="273">
        <v>2.1976387500762939</v>
      </c>
      <c r="K72" s="274">
        <f>IF(AND(H72&gt;=H$3, H72&lt;=H$4),1,0)</f>
        <v>1</v>
      </c>
      <c r="L72" s="274">
        <f>IF(AND(I72&gt;=I$3, I72&lt;=I$4),1,0)</f>
        <v>1</v>
      </c>
      <c r="M72" s="274">
        <f>IF(AND(J72&gt;=J$3, J72&lt;=J$4),1,0)</f>
        <v>1</v>
      </c>
      <c r="N72" s="275">
        <f>SUM(K72:M72)</f>
        <v>3</v>
      </c>
      <c r="O72" s="274">
        <f>IF(COUNT(H72:J72)&lt;N$1,0,1)</f>
        <v>1</v>
      </c>
      <c r="P72" s="276">
        <f t="shared" si="16"/>
        <v>3</v>
      </c>
      <c r="Q72" s="277">
        <f t="shared" si="17"/>
        <v>5.7699151039123535</v>
      </c>
      <c r="Z72" s="283">
        <f t="shared" si="18"/>
        <v>14</v>
      </c>
      <c r="AA72" s="283">
        <f t="shared" si="19"/>
        <v>8</v>
      </c>
      <c r="AB72" s="283" t="str">
        <f t="shared" si="20"/>
        <v>Dena Demas</v>
      </c>
      <c r="AC72" s="283">
        <f t="shared" si="21"/>
        <v>3</v>
      </c>
      <c r="AD72" s="283" t="str">
        <f t="shared" si="22"/>
        <v>L</v>
      </c>
      <c r="AE72" s="284"/>
      <c r="AF72" s="285">
        <f>IF(AND(LEN(H72)&gt;0,$O72=1),H72*VLOOKUP($AA72,$S:$X,6,FALSE),"")</f>
        <v>2.6135347042028534</v>
      </c>
      <c r="AG72" s="285">
        <f>IF(AND(LEN(I72)&gt;0,$O72=1),I72*VLOOKUP($AA72,$S:$X,6,FALSE),"")</f>
        <v>1.4523919694242875</v>
      </c>
      <c r="AH72" s="285">
        <f>IF(AND(LEN(J72)&gt;0,$O72=1),J72*VLOOKUP($AA72,$S:$X,6,FALSE),"")</f>
        <v>2.5013288804872467</v>
      </c>
      <c r="AI72" s="285">
        <f t="shared" si="23"/>
        <v>6.5672555541143876</v>
      </c>
    </row>
    <row r="73" spans="1:38" x14ac:dyDescent="0.25">
      <c r="A73" s="232">
        <v>8</v>
      </c>
      <c r="B73" s="232" t="s">
        <v>110</v>
      </c>
      <c r="C73" s="232">
        <v>4</v>
      </c>
      <c r="D73" s="232" t="s">
        <v>253</v>
      </c>
      <c r="E73" s="232">
        <v>15</v>
      </c>
      <c r="F73" s="232" t="s">
        <v>137</v>
      </c>
      <c r="G73" s="272"/>
      <c r="H73" s="273">
        <v>3.599635124206543</v>
      </c>
      <c r="I73" s="273">
        <v>1.6434018611907959</v>
      </c>
      <c r="J73" s="273">
        <v>4.5128340721130371</v>
      </c>
      <c r="K73" s="274">
        <f>IF(AND(H73&gt;=H$3, H73&lt;=H$4),1,0)</f>
        <v>1</v>
      </c>
      <c r="L73" s="274">
        <f>IF(AND(I73&gt;=I$3, I73&lt;=I$4),1,0)</f>
        <v>1</v>
      </c>
      <c r="M73" s="274">
        <f>IF(AND(J73&gt;=J$3, J73&lt;=J$4),1,0)</f>
        <v>1</v>
      </c>
      <c r="N73" s="275">
        <f>SUM(K73:M73)</f>
        <v>3</v>
      </c>
      <c r="O73" s="274">
        <f>IF(COUNT(H73:J73)&lt;N$1,0,1)</f>
        <v>1</v>
      </c>
      <c r="P73" s="276">
        <f t="shared" si="16"/>
        <v>3</v>
      </c>
      <c r="Q73" s="277">
        <f t="shared" si="17"/>
        <v>9.755871057510376</v>
      </c>
      <c r="Z73" s="283">
        <f t="shared" si="18"/>
        <v>15</v>
      </c>
      <c r="AA73" s="283">
        <f t="shared" si="19"/>
        <v>8</v>
      </c>
      <c r="AB73" s="283" t="str">
        <f t="shared" si="20"/>
        <v>Dena Demas</v>
      </c>
      <c r="AC73" s="283">
        <f t="shared" si="21"/>
        <v>4</v>
      </c>
      <c r="AD73" s="283" t="str">
        <f t="shared" si="22"/>
        <v>L</v>
      </c>
      <c r="AE73" s="284"/>
      <c r="AF73" s="285">
        <f>IF(AND(LEN(H73)&gt;0,$O73=1),H73*VLOOKUP($AA73,$S:$X,6,FALSE),"")</f>
        <v>4.0970661329490756</v>
      </c>
      <c r="AG73" s="285">
        <f>IF(AND(LEN(I73)&gt;0,$O73=1),I73*VLOOKUP($AA73,$S:$X,6,FALSE),"")</f>
        <v>1.8705023914873737</v>
      </c>
      <c r="AH73" s="285">
        <f>IF(AND(LEN(J73)&gt;0,$O73=1),J73*VLOOKUP($AA73,$S:$X,6,FALSE),"")</f>
        <v>5.1364593917136396</v>
      </c>
      <c r="AI73" s="285">
        <f t="shared" si="23"/>
        <v>11.104027916150089</v>
      </c>
    </row>
    <row r="74" spans="1:38" x14ac:dyDescent="0.25">
      <c r="A74" s="232">
        <v>8</v>
      </c>
      <c r="B74" s="232" t="s">
        <v>110</v>
      </c>
      <c r="C74" s="232">
        <v>2</v>
      </c>
      <c r="D74" s="232" t="s">
        <v>254</v>
      </c>
      <c r="E74" s="232">
        <v>16</v>
      </c>
      <c r="F74" s="232" t="s">
        <v>141</v>
      </c>
      <c r="G74" s="272"/>
      <c r="H74" s="273">
        <v>1.6523401737213135</v>
      </c>
      <c r="I74" s="273">
        <v>2.7404136657714844</v>
      </c>
      <c r="J74" s="273">
        <v>4.7064177989959717</v>
      </c>
      <c r="K74" s="274">
        <f>IF(AND(H74&gt;=H$3, H74&lt;=H$4),1,0)</f>
        <v>1</v>
      </c>
      <c r="L74" s="274">
        <f>IF(AND(I74&gt;=I$3, I74&lt;=I$4),1,0)</f>
        <v>1</v>
      </c>
      <c r="M74" s="274">
        <f>IF(AND(J74&gt;=J$3, J74&lt;=J$4),1,0)</f>
        <v>1</v>
      </c>
      <c r="N74" s="275">
        <f>SUM(K74:M74)</f>
        <v>3</v>
      </c>
      <c r="O74" s="274">
        <f>IF(COUNT(H74:J74)&lt;N$1,0,1)</f>
        <v>1</v>
      </c>
      <c r="P74" s="276">
        <f t="shared" si="16"/>
        <v>3</v>
      </c>
      <c r="Q74" s="277">
        <f t="shared" si="17"/>
        <v>9.0991716384887695</v>
      </c>
      <c r="Z74" s="283">
        <f t="shared" si="18"/>
        <v>16</v>
      </c>
      <c r="AA74" s="283">
        <f t="shared" si="19"/>
        <v>8</v>
      </c>
      <c r="AB74" s="283" t="str">
        <f t="shared" si="20"/>
        <v>Dena Demas</v>
      </c>
      <c r="AC74" s="283">
        <f t="shared" si="21"/>
        <v>2</v>
      </c>
      <c r="AD74" s="283" t="str">
        <f t="shared" si="22"/>
        <v>M</v>
      </c>
      <c r="AE74" s="284"/>
      <c r="AF74" s="285">
        <f>IF(AND(LEN(H74)&gt;0,$O74=1),H74*VLOOKUP($AA74,$S:$X,6,FALSE),"")</f>
        <v>1.8806758830471801</v>
      </c>
      <c r="AG74" s="285">
        <f>IF(AND(LEN(I74)&gt;0,$O74=1),I74*VLOOKUP($AA74,$S:$X,6,FALSE),"")</f>
        <v>3.1191094744020913</v>
      </c>
      <c r="AH74" s="285">
        <f>IF(AND(LEN(J74)&gt;0,$O74=1),J74*VLOOKUP($AA74,$S:$X,6,FALSE),"")</f>
        <v>5.3567943156531772</v>
      </c>
      <c r="AI74" s="285">
        <f t="shared" si="23"/>
        <v>10.356579673102448</v>
      </c>
    </row>
    <row r="75" spans="1:38" x14ac:dyDescent="0.25">
      <c r="A75" s="232">
        <v>8</v>
      </c>
      <c r="B75" s="232" t="s">
        <v>110</v>
      </c>
      <c r="C75" s="232">
        <v>3</v>
      </c>
      <c r="D75" s="232" t="s">
        <v>253</v>
      </c>
      <c r="E75" s="232">
        <v>21</v>
      </c>
      <c r="F75" s="232" t="s">
        <v>161</v>
      </c>
      <c r="G75" s="272"/>
      <c r="H75" s="273">
        <v>2.8677315711975098</v>
      </c>
      <c r="I75" s="273">
        <v>4.9558117389678955</v>
      </c>
      <c r="J75" s="273">
        <v>2.7255067825317383</v>
      </c>
      <c r="K75" s="274">
        <f>IF(AND(H75&gt;=H$3, H75&lt;=H$4),1,0)</f>
        <v>1</v>
      </c>
      <c r="L75" s="274">
        <f>IF(AND(I75&gt;=I$3, I75&lt;=I$4),1,0)</f>
        <v>1</v>
      </c>
      <c r="M75" s="274">
        <f>IF(AND(J75&gt;=J$3, J75&lt;=J$4),1,0)</f>
        <v>1</v>
      </c>
      <c r="N75" s="275">
        <f>SUM(K75:M75)</f>
        <v>3</v>
      </c>
      <c r="O75" s="274">
        <f>IF(COUNT(H75:J75)&lt;N$1,0,1)</f>
        <v>1</v>
      </c>
      <c r="P75" s="276">
        <f t="shared" si="16"/>
        <v>3</v>
      </c>
      <c r="Q75" s="277">
        <f t="shared" si="17"/>
        <v>10.549050092697144</v>
      </c>
      <c r="Z75" s="283">
        <f t="shared" si="18"/>
        <v>21</v>
      </c>
      <c r="AA75" s="283">
        <f t="shared" si="19"/>
        <v>8</v>
      </c>
      <c r="AB75" s="283" t="str">
        <f t="shared" si="20"/>
        <v>Dena Demas</v>
      </c>
      <c r="AC75" s="283">
        <f t="shared" si="21"/>
        <v>3</v>
      </c>
      <c r="AD75" s="283" t="str">
        <f t="shared" si="22"/>
        <v>L</v>
      </c>
      <c r="AE75" s="284"/>
      <c r="AF75" s="285">
        <f>IF(AND(LEN(H75)&gt;0,$O75=1),H75*VLOOKUP($AA75,$S:$X,6,FALSE),"")</f>
        <v>3.2640213503117264</v>
      </c>
      <c r="AG75" s="285">
        <f>IF(AND(LEN(I75)&gt;0,$O75=1),I75*VLOOKUP($AA75,$S:$X,6,FALSE),"")</f>
        <v>5.6406518261965362</v>
      </c>
      <c r="AH75" s="285">
        <f>IF(AND(LEN(J75)&gt;0,$O75=1),J75*VLOOKUP($AA75,$S:$X,6,FALSE),"")</f>
        <v>3.1021426196065369</v>
      </c>
      <c r="AI75" s="285">
        <f t="shared" si="23"/>
        <v>12.0068157961148</v>
      </c>
    </row>
    <row r="76" spans="1:38" x14ac:dyDescent="0.25">
      <c r="A76" s="232">
        <v>8</v>
      </c>
      <c r="B76" s="232" t="s">
        <v>110</v>
      </c>
      <c r="C76" s="232">
        <v>4</v>
      </c>
      <c r="D76" s="232" t="s">
        <v>253</v>
      </c>
      <c r="E76" s="232">
        <v>22</v>
      </c>
      <c r="F76" s="232" t="s">
        <v>165</v>
      </c>
      <c r="G76" s="272"/>
      <c r="H76" s="273">
        <v>4.06461501121521</v>
      </c>
      <c r="I76" s="273">
        <v>3.8527102470397949</v>
      </c>
      <c r="J76" s="273">
        <v>1.82216477394104</v>
      </c>
      <c r="K76" s="274">
        <f>IF(AND(H76&gt;=H$3, H76&lt;=H$4),1,0)</f>
        <v>1</v>
      </c>
      <c r="L76" s="274">
        <f>IF(AND(I76&gt;=I$3, I76&lt;=I$4),1,0)</f>
        <v>1</v>
      </c>
      <c r="M76" s="274">
        <f>IF(AND(J76&gt;=J$3, J76&lt;=J$4),1,0)</f>
        <v>1</v>
      </c>
      <c r="N76" s="275">
        <f>SUM(K76:M76)</f>
        <v>3</v>
      </c>
      <c r="O76" s="274">
        <f>IF(COUNT(H76:J76)&lt;N$1,0,1)</f>
        <v>1</v>
      </c>
      <c r="P76" s="276">
        <f t="shared" si="16"/>
        <v>3</v>
      </c>
      <c r="Q76" s="277">
        <f t="shared" si="17"/>
        <v>9.7394900321960449</v>
      </c>
      <c r="Z76" s="283">
        <f t="shared" si="18"/>
        <v>22</v>
      </c>
      <c r="AA76" s="283">
        <f t="shared" si="19"/>
        <v>8</v>
      </c>
      <c r="AB76" s="283" t="str">
        <f t="shared" si="20"/>
        <v>Dena Demas</v>
      </c>
      <c r="AC76" s="283">
        <f t="shared" si="21"/>
        <v>4</v>
      </c>
      <c r="AD76" s="283" t="str">
        <f t="shared" si="22"/>
        <v>L</v>
      </c>
      <c r="AE76" s="284"/>
      <c r="AF76" s="285">
        <f>IF(AND(LEN(H76)&gt;0,$O76=1),H76*VLOOKUP($AA76,$S:$X,6,FALSE),"")</f>
        <v>4.6263012586857775</v>
      </c>
      <c r="AG76" s="285">
        <f>IF(AND(LEN(I76)&gt;0,$O76=1),I76*VLOOKUP($AA76,$S:$X,6,FALSE),"")</f>
        <v>4.3851135263860979</v>
      </c>
      <c r="AH76" s="285">
        <f>IF(AND(LEN(J76)&gt;0,$O76=1),J76*VLOOKUP($AA76,$S:$X,6,FALSE),"")</f>
        <v>2.0739684235668885</v>
      </c>
      <c r="AI76" s="285">
        <f t="shared" si="23"/>
        <v>11.085383208638763</v>
      </c>
    </row>
    <row r="77" spans="1:38" x14ac:dyDescent="0.25">
      <c r="A77" s="232">
        <v>8</v>
      </c>
      <c r="B77" s="232" t="s">
        <v>110</v>
      </c>
      <c r="C77" s="232">
        <v>3</v>
      </c>
      <c r="D77" s="232" t="s">
        <v>254</v>
      </c>
      <c r="E77" s="232">
        <v>23</v>
      </c>
      <c r="F77" s="232" t="s">
        <v>169</v>
      </c>
      <c r="G77" s="272"/>
      <c r="H77" s="273">
        <v>1.6625804901123047</v>
      </c>
      <c r="I77" s="273">
        <v>3.6449954509735107</v>
      </c>
      <c r="J77" s="273">
        <v>4.9367642402648926</v>
      </c>
      <c r="K77" s="274">
        <f>IF(AND(H77&gt;=H$3, H77&lt;=H$4),1,0)</f>
        <v>1</v>
      </c>
      <c r="L77" s="274">
        <f>IF(AND(I77&gt;=I$3, I77&lt;=I$4),1,0)</f>
        <v>1</v>
      </c>
      <c r="M77" s="274">
        <f>IF(AND(J77&gt;=J$3, J77&lt;=J$4),1,0)</f>
        <v>1</v>
      </c>
      <c r="N77" s="275">
        <f>SUM(K77:M77)</f>
        <v>3</v>
      </c>
      <c r="O77" s="274">
        <f>IF(COUNT(H77:J77)&lt;N$1,0,1)</f>
        <v>1</v>
      </c>
      <c r="P77" s="276">
        <f t="shared" si="16"/>
        <v>3</v>
      </c>
      <c r="Q77" s="277">
        <f t="shared" si="17"/>
        <v>10.244340181350708</v>
      </c>
      <c r="Z77" s="283">
        <f t="shared" si="18"/>
        <v>23</v>
      </c>
      <c r="AA77" s="283">
        <f t="shared" si="19"/>
        <v>8</v>
      </c>
      <c r="AB77" s="283" t="str">
        <f t="shared" si="20"/>
        <v>Dena Demas</v>
      </c>
      <c r="AC77" s="283">
        <f t="shared" si="21"/>
        <v>3</v>
      </c>
      <c r="AD77" s="283" t="str">
        <f t="shared" si="22"/>
        <v>M</v>
      </c>
      <c r="AE77" s="284"/>
      <c r="AF77" s="285">
        <f>IF(AND(LEN(H77)&gt;0,$O77=1),H77*VLOOKUP($AA77,$S:$X,6,FALSE),"")</f>
        <v>1.8923313014516945</v>
      </c>
      <c r="AG77" s="285">
        <f>IF(AND(LEN(I77)&gt;0,$O77=1),I77*VLOOKUP($AA77,$S:$X,6,FALSE),"")</f>
        <v>4.148694770898155</v>
      </c>
      <c r="AH77" s="285">
        <f>IF(AND(LEN(J77)&gt;0,$O77=1),J77*VLOOKUP($AA77,$S:$X,6,FALSE),"")</f>
        <v>5.6189721672420285</v>
      </c>
      <c r="AI77" s="285">
        <f t="shared" si="23"/>
        <v>11.659998239591879</v>
      </c>
    </row>
    <row r="78" spans="1:38" x14ac:dyDescent="0.25">
      <c r="A78" s="232">
        <v>8</v>
      </c>
      <c r="B78" s="232" t="s">
        <v>110</v>
      </c>
      <c r="C78" s="232">
        <v>1</v>
      </c>
      <c r="D78" s="232" t="s">
        <v>254</v>
      </c>
      <c r="E78" s="232">
        <v>25</v>
      </c>
      <c r="F78" s="232" t="s">
        <v>177</v>
      </c>
      <c r="G78" s="272"/>
      <c r="H78" s="273">
        <v>4.0944168567657471</v>
      </c>
      <c r="I78" s="273">
        <v>3.2725820541381836</v>
      </c>
      <c r="J78" s="273">
        <v>2.534717321395874</v>
      </c>
      <c r="K78" s="274">
        <f>IF(AND(H78&gt;=H$3, H78&lt;=H$4),1,0)</f>
        <v>1</v>
      </c>
      <c r="L78" s="274">
        <f>IF(AND(I78&gt;=I$3, I78&lt;=I$4),1,0)</f>
        <v>1</v>
      </c>
      <c r="M78" s="274">
        <f>IF(AND(J78&gt;=J$3, J78&lt;=J$4),1,0)</f>
        <v>1</v>
      </c>
      <c r="N78" s="275">
        <f>SUM(K78:M78)</f>
        <v>3</v>
      </c>
      <c r="O78" s="274">
        <f>IF(COUNT(H78:J78)&lt;N$1,0,1)</f>
        <v>1</v>
      </c>
      <c r="P78" s="276">
        <f t="shared" si="16"/>
        <v>3</v>
      </c>
      <c r="Q78" s="277">
        <f t="shared" si="17"/>
        <v>9.9017162322998047</v>
      </c>
      <c r="Z78" s="283">
        <f t="shared" si="18"/>
        <v>25</v>
      </c>
      <c r="AA78" s="283">
        <f t="shared" si="19"/>
        <v>8</v>
      </c>
      <c r="AB78" s="283" t="str">
        <f t="shared" si="20"/>
        <v>Dena Demas</v>
      </c>
      <c r="AC78" s="283">
        <f t="shared" si="21"/>
        <v>1</v>
      </c>
      <c r="AD78" s="283" t="str">
        <f t="shared" si="22"/>
        <v>M</v>
      </c>
      <c r="AE78" s="284"/>
      <c r="AF78" s="285">
        <f>IF(AND(LEN(H78)&gt;0,$O78=1),H78*VLOOKUP($AA78,$S:$X,6,FALSE),"")</f>
        <v>4.6602214000032669</v>
      </c>
      <c r="AG78" s="285">
        <f>IF(AND(LEN(I78)&gt;0,$O78=1),I78*VLOOKUP($AA78,$S:$X,6,FALSE),"")</f>
        <v>3.7248178325468349</v>
      </c>
      <c r="AH78" s="285">
        <f>IF(AND(LEN(J78)&gt;0,$O78=1),J78*VLOOKUP($AA78,$S:$X,6,FALSE),"")</f>
        <v>2.8849880990033809</v>
      </c>
      <c r="AI78" s="285">
        <f t="shared" si="23"/>
        <v>11.270027331553484</v>
      </c>
    </row>
    <row r="79" spans="1:38" x14ac:dyDescent="0.25">
      <c r="A79" s="232">
        <v>9</v>
      </c>
      <c r="B79" s="232" t="s">
        <v>114</v>
      </c>
      <c r="C79" s="232">
        <v>2</v>
      </c>
      <c r="D79" s="232" t="s">
        <v>253</v>
      </c>
      <c r="E79" s="232">
        <v>1</v>
      </c>
      <c r="F79" s="232" t="s">
        <v>81</v>
      </c>
      <c r="G79" s="272"/>
      <c r="H79" s="273">
        <v>2.1084189414978027</v>
      </c>
      <c r="I79" s="273">
        <v>4.0569918155670166</v>
      </c>
      <c r="J79" s="273">
        <v>1.952239990234375</v>
      </c>
      <c r="K79" s="274">
        <f>IF(AND(H79&gt;=H$3, H79&lt;=H$4),1,0)</f>
        <v>1</v>
      </c>
      <c r="L79" s="274">
        <f>IF(AND(I79&gt;=I$3, I79&lt;=I$4),1,0)</f>
        <v>1</v>
      </c>
      <c r="M79" s="274">
        <f>IF(AND(J79&gt;=J$3, J79&lt;=J$4),1,0)</f>
        <v>1</v>
      </c>
      <c r="N79" s="275">
        <f>SUM(K79:M79)</f>
        <v>3</v>
      </c>
      <c r="O79" s="274">
        <f>IF(COUNT(H79:J79)&lt;N$1,0,1)</f>
        <v>1</v>
      </c>
      <c r="P79" s="276">
        <f t="shared" si="16"/>
        <v>3</v>
      </c>
      <c r="Q79" s="277">
        <f t="shared" si="17"/>
        <v>8.1176507472991943</v>
      </c>
      <c r="Z79" s="283">
        <f t="shared" si="18"/>
        <v>1</v>
      </c>
      <c r="AA79" s="283">
        <f t="shared" si="19"/>
        <v>9</v>
      </c>
      <c r="AB79" s="283" t="str">
        <f t="shared" si="20"/>
        <v>Gerard Cutright</v>
      </c>
      <c r="AC79" s="283">
        <f t="shared" si="21"/>
        <v>2</v>
      </c>
      <c r="AD79" s="283" t="str">
        <f t="shared" si="22"/>
        <v>L</v>
      </c>
      <c r="AE79" s="284"/>
      <c r="AF79" s="285">
        <f>IF(AND(LEN(H79)&gt;0,$O79=1),H79*VLOOKUP($AA79,$S:$X,6,FALSE),"")</f>
        <v>2.4515442506304339</v>
      </c>
      <c r="AG79" s="285">
        <f>IF(AND(LEN(I79)&gt;0,$O79=1),I79*VLOOKUP($AA79,$S:$X,6,FALSE),"")</f>
        <v>4.7172289930399538</v>
      </c>
      <c r="AH79" s="285">
        <f>IF(AND(LEN(J79)&gt;0,$O79=1),J79*VLOOKUP($AA79,$S:$X,6,FALSE),"")</f>
        <v>2.2699486471649517</v>
      </c>
      <c r="AI79" s="285">
        <f t="shared" si="23"/>
        <v>9.438721890835339</v>
      </c>
    </row>
    <row r="80" spans="1:38" x14ac:dyDescent="0.25">
      <c r="A80" s="232">
        <v>9</v>
      </c>
      <c r="B80" s="232" t="s">
        <v>114</v>
      </c>
      <c r="C80" s="232">
        <v>3</v>
      </c>
      <c r="D80" s="232" t="s">
        <v>253</v>
      </c>
      <c r="E80" s="232">
        <v>4</v>
      </c>
      <c r="F80" s="232" t="s">
        <v>93</v>
      </c>
      <c r="G80" s="272"/>
      <c r="H80" s="273">
        <v>3.7935950756072998</v>
      </c>
      <c r="I80" s="273">
        <v>3.4382309913635254</v>
      </c>
      <c r="J80" s="273">
        <v>1.7482197284698486</v>
      </c>
      <c r="K80" s="274">
        <f>IF(AND(H80&gt;=H$3, H80&lt;=H$4),1,0)</f>
        <v>1</v>
      </c>
      <c r="L80" s="274">
        <f>IF(AND(I80&gt;=I$3, I80&lt;=I$4),1,0)</f>
        <v>1</v>
      </c>
      <c r="M80" s="274">
        <f>IF(AND(J80&gt;=J$3, J80&lt;=J$4),1,0)</f>
        <v>1</v>
      </c>
      <c r="N80" s="275">
        <f>SUM(K80:M80)</f>
        <v>3</v>
      </c>
      <c r="O80" s="274">
        <f>IF(COUNT(H80:J80)&lt;N$1,0,1)</f>
        <v>1</v>
      </c>
      <c r="P80" s="276">
        <f t="shared" si="16"/>
        <v>3</v>
      </c>
      <c r="Q80" s="277">
        <f t="shared" si="17"/>
        <v>8.9800457954406738</v>
      </c>
      <c r="Z80" s="283">
        <f t="shared" si="18"/>
        <v>4</v>
      </c>
      <c r="AA80" s="283">
        <f t="shared" si="19"/>
        <v>9</v>
      </c>
      <c r="AB80" s="283" t="str">
        <f t="shared" si="20"/>
        <v>Gerard Cutright</v>
      </c>
      <c r="AC80" s="283">
        <f t="shared" si="21"/>
        <v>3</v>
      </c>
      <c r="AD80" s="283" t="str">
        <f t="shared" si="22"/>
        <v>L</v>
      </c>
      <c r="AE80" s="284"/>
      <c r="AF80" s="285">
        <f>IF(AND(LEN(H80)&gt;0,$O80=1),H80*VLOOKUP($AA80,$S:$X,6,FALSE),"")</f>
        <v>4.4109669163843899</v>
      </c>
      <c r="AG80" s="285">
        <f>IF(AND(LEN(I80)&gt;0,$O80=1),I80*VLOOKUP($AA80,$S:$X,6,FALSE),"")</f>
        <v>3.9977706770309869</v>
      </c>
      <c r="AH80" s="285">
        <f>IF(AND(LEN(J80)&gt;0,$O80=1),J80*VLOOKUP($AA80,$S:$X,6,FALSE),"")</f>
        <v>2.0327260108583225</v>
      </c>
      <c r="AI80" s="285">
        <f t="shared" si="23"/>
        <v>10.4414636042737</v>
      </c>
    </row>
    <row r="81" spans="1:35" x14ac:dyDescent="0.25">
      <c r="A81" s="232">
        <v>9</v>
      </c>
      <c r="B81" s="232" t="s">
        <v>114</v>
      </c>
      <c r="C81" s="232">
        <v>1</v>
      </c>
      <c r="D81" s="232" t="s">
        <v>255</v>
      </c>
      <c r="E81" s="232">
        <v>6</v>
      </c>
      <c r="F81" s="232" t="s">
        <v>101</v>
      </c>
      <c r="G81" s="272"/>
      <c r="H81" s="273">
        <v>4.8365640640258789</v>
      </c>
      <c r="I81" s="273">
        <v>4.2665994167327881</v>
      </c>
      <c r="J81" s="273">
        <v>3.6412882804870605</v>
      </c>
      <c r="K81" s="274">
        <f>IF(AND(H81&gt;=H$3, H81&lt;=H$4),1,0)</f>
        <v>1</v>
      </c>
      <c r="L81" s="274">
        <f>IF(AND(I81&gt;=I$3, I81&lt;=I$4),1,0)</f>
        <v>1</v>
      </c>
      <c r="M81" s="274">
        <f>IF(AND(J81&gt;=J$3, J81&lt;=J$4),1,0)</f>
        <v>1</v>
      </c>
      <c r="N81" s="275">
        <f>SUM(K81:M81)</f>
        <v>3</v>
      </c>
      <c r="O81" s="274">
        <f>IF(COUNT(H81:J81)&lt;N$1,0,1)</f>
        <v>1</v>
      </c>
      <c r="P81" s="276">
        <f t="shared" si="16"/>
        <v>3</v>
      </c>
      <c r="Q81" s="277">
        <f t="shared" si="17"/>
        <v>12.744451761245728</v>
      </c>
      <c r="Z81" s="283">
        <f t="shared" si="18"/>
        <v>6</v>
      </c>
      <c r="AA81" s="283">
        <f t="shared" si="19"/>
        <v>9</v>
      </c>
      <c r="AB81" s="283" t="str">
        <f t="shared" si="20"/>
        <v>Gerard Cutright</v>
      </c>
      <c r="AC81" s="283">
        <f t="shared" si="21"/>
        <v>1</v>
      </c>
      <c r="AD81" s="283" t="str">
        <f t="shared" si="22"/>
        <v>H</v>
      </c>
      <c r="AE81" s="284"/>
      <c r="AF81" s="285">
        <f>IF(AND(LEN(H81)&gt;0,$O81=1),H81*VLOOKUP($AA81,$S:$X,6,FALSE),"")</f>
        <v>5.6236692768208876</v>
      </c>
      <c r="AG81" s="285">
        <f>IF(AND(LEN(I81)&gt;0,$O81=1),I81*VLOOKUP($AA81,$S:$X,6,FALSE),"")</f>
        <v>4.9609482555700755</v>
      </c>
      <c r="AH81" s="285">
        <f>IF(AND(LEN(J81)&gt;0,$O81=1),J81*VLOOKUP($AA81,$S:$X,6,FALSE),"")</f>
        <v>4.2338736259761189</v>
      </c>
      <c r="AI81" s="285">
        <f t="shared" si="23"/>
        <v>14.818491158367081</v>
      </c>
    </row>
    <row r="82" spans="1:35" x14ac:dyDescent="0.25">
      <c r="A82" s="232">
        <v>9</v>
      </c>
      <c r="B82" s="232" t="s">
        <v>114</v>
      </c>
      <c r="C82" s="232">
        <v>2</v>
      </c>
      <c r="D82" s="232" t="s">
        <v>254</v>
      </c>
      <c r="E82" s="232">
        <v>12</v>
      </c>
      <c r="F82" s="232" t="s">
        <v>125</v>
      </c>
      <c r="G82" s="272"/>
      <c r="H82" s="273">
        <v>1.2728369235992432</v>
      </c>
      <c r="I82" s="273">
        <v>2.8613452911376953</v>
      </c>
      <c r="J82" s="273">
        <v>1.3963572978973389</v>
      </c>
      <c r="K82" s="274">
        <f>IF(AND(H82&gt;=H$3, H82&lt;=H$4),1,0)</f>
        <v>1</v>
      </c>
      <c r="L82" s="274">
        <f>IF(AND(I82&gt;=I$3, I82&lt;=I$4),1,0)</f>
        <v>1</v>
      </c>
      <c r="M82" s="274">
        <f>IF(AND(J82&gt;=J$3, J82&lt;=J$4),1,0)</f>
        <v>1</v>
      </c>
      <c r="N82" s="275">
        <f>SUM(K82:M82)</f>
        <v>3</v>
      </c>
      <c r="O82" s="274">
        <f>IF(COUNT(H82:J82)&lt;N$1,0,1)</f>
        <v>1</v>
      </c>
      <c r="P82" s="276">
        <f t="shared" si="16"/>
        <v>3</v>
      </c>
      <c r="Q82" s="277">
        <f t="shared" si="17"/>
        <v>5.5305395126342773</v>
      </c>
      <c r="Z82" s="283">
        <f t="shared" si="18"/>
        <v>12</v>
      </c>
      <c r="AA82" s="283">
        <f t="shared" si="19"/>
        <v>9</v>
      </c>
      <c r="AB82" s="283" t="str">
        <f t="shared" si="20"/>
        <v>Gerard Cutright</v>
      </c>
      <c r="AC82" s="283">
        <f t="shared" si="21"/>
        <v>2</v>
      </c>
      <c r="AD82" s="283" t="str">
        <f t="shared" si="22"/>
        <v>M</v>
      </c>
      <c r="AE82" s="284"/>
      <c r="AF82" s="285">
        <f>IF(AND(LEN(H82)&gt;0,$O82=1),H82*VLOOKUP($AA82,$S:$X,6,FALSE),"")</f>
        <v>1.4799791353719942</v>
      </c>
      <c r="AG82" s="285">
        <f>IF(AND(LEN(I82)&gt;0,$O82=1),I82*VLOOKUP($AA82,$S:$X,6,FALSE),"")</f>
        <v>3.3270022667192931</v>
      </c>
      <c r="AH82" s="285">
        <f>IF(AND(LEN(J82)&gt;0,$O82=1),J82*VLOOKUP($AA82,$S:$X,6,FALSE),"")</f>
        <v>1.6236012863051945</v>
      </c>
      <c r="AI82" s="285">
        <f t="shared" si="23"/>
        <v>6.4305826883964814</v>
      </c>
    </row>
    <row r="83" spans="1:35" x14ac:dyDescent="0.25">
      <c r="A83" s="232">
        <v>9</v>
      </c>
      <c r="B83" s="232" t="s">
        <v>114</v>
      </c>
      <c r="C83" s="232">
        <v>3</v>
      </c>
      <c r="D83" s="232" t="s">
        <v>253</v>
      </c>
      <c r="E83" s="232">
        <v>13</v>
      </c>
      <c r="F83" s="232" t="s">
        <v>129</v>
      </c>
      <c r="G83" s="272"/>
      <c r="H83" s="273">
        <v>3.6397099494934082</v>
      </c>
      <c r="I83" s="273">
        <v>4.1144859790802002</v>
      </c>
      <c r="J83" s="273">
        <v>2.8256559371948242</v>
      </c>
      <c r="K83" s="274">
        <f>IF(AND(H83&gt;=H$3, H83&lt;=H$4),1,0)</f>
        <v>1</v>
      </c>
      <c r="L83" s="274">
        <f>IF(AND(I83&gt;=I$3, I83&lt;=I$4),1,0)</f>
        <v>1</v>
      </c>
      <c r="M83" s="274">
        <f>IF(AND(J83&gt;=J$3, J83&lt;=J$4),1,0)</f>
        <v>1</v>
      </c>
      <c r="N83" s="275">
        <f>SUM(K83:M83)</f>
        <v>3</v>
      </c>
      <c r="O83" s="274">
        <f>IF(COUNT(H83:J83)&lt;N$1,0,1)</f>
        <v>1</v>
      </c>
      <c r="P83" s="276">
        <f t="shared" si="16"/>
        <v>3</v>
      </c>
      <c r="Q83" s="277">
        <f t="shared" si="17"/>
        <v>10.579851865768433</v>
      </c>
      <c r="Z83" s="283">
        <f t="shared" si="18"/>
        <v>13</v>
      </c>
      <c r="AA83" s="283">
        <f t="shared" si="19"/>
        <v>9</v>
      </c>
      <c r="AB83" s="283" t="str">
        <f t="shared" si="20"/>
        <v>Gerard Cutright</v>
      </c>
      <c r="AC83" s="283">
        <f t="shared" si="21"/>
        <v>3</v>
      </c>
      <c r="AD83" s="283" t="str">
        <f t="shared" si="22"/>
        <v>L</v>
      </c>
      <c r="AE83" s="284"/>
      <c r="AF83" s="285">
        <f>IF(AND(LEN(H83)&gt;0,$O83=1),H83*VLOOKUP($AA83,$S:$X,6,FALSE),"")</f>
        <v>4.2320384364903276</v>
      </c>
      <c r="AG83" s="285">
        <f>IF(AND(LEN(I83)&gt;0,$O83=1),I83*VLOOKUP($AA83,$S:$X,6,FALSE),"")</f>
        <v>4.7840797897347613</v>
      </c>
      <c r="AH83" s="285">
        <f>IF(AND(LEN(J83)&gt;0,$O83=1),J83*VLOOKUP($AA83,$S:$X,6,FALSE),"")</f>
        <v>3.2855048068239627</v>
      </c>
      <c r="AI83" s="285">
        <f t="shared" si="23"/>
        <v>12.301623033049051</v>
      </c>
    </row>
    <row r="84" spans="1:35" x14ac:dyDescent="0.25">
      <c r="A84" s="232">
        <v>9</v>
      </c>
      <c r="B84" s="232" t="s">
        <v>114</v>
      </c>
      <c r="C84" s="232">
        <v>4</v>
      </c>
      <c r="D84" s="232" t="s">
        <v>253</v>
      </c>
      <c r="E84" s="232">
        <v>14</v>
      </c>
      <c r="F84" s="232" t="s">
        <v>133</v>
      </c>
      <c r="G84" s="272"/>
      <c r="H84" s="273">
        <v>1.0356519222259521</v>
      </c>
      <c r="I84" s="273">
        <v>3.1251463890075684</v>
      </c>
      <c r="J84" s="273">
        <v>3.4482157230377197</v>
      </c>
      <c r="K84" s="274">
        <f>IF(AND(H84&gt;=H$3, H84&lt;=H$4),1,0)</f>
        <v>1</v>
      </c>
      <c r="L84" s="274">
        <f>IF(AND(I84&gt;=I$3, I84&lt;=I$4),1,0)</f>
        <v>1</v>
      </c>
      <c r="M84" s="274">
        <f>IF(AND(J84&gt;=J$3, J84&lt;=J$4),1,0)</f>
        <v>1</v>
      </c>
      <c r="N84" s="275">
        <f>SUM(K84:M84)</f>
        <v>3</v>
      </c>
      <c r="O84" s="274">
        <f>IF(COUNT(H84:J84)&lt;N$1,0,1)</f>
        <v>1</v>
      </c>
      <c r="P84" s="276">
        <f t="shared" si="16"/>
        <v>3</v>
      </c>
      <c r="Q84" s="277">
        <f t="shared" si="17"/>
        <v>7.6090140342712402</v>
      </c>
      <c r="Z84" s="283">
        <f t="shared" si="18"/>
        <v>14</v>
      </c>
      <c r="AA84" s="283">
        <f t="shared" si="19"/>
        <v>9</v>
      </c>
      <c r="AB84" s="283" t="str">
        <f t="shared" si="20"/>
        <v>Gerard Cutright</v>
      </c>
      <c r="AC84" s="283">
        <f t="shared" si="21"/>
        <v>4</v>
      </c>
      <c r="AD84" s="283" t="str">
        <f t="shared" si="22"/>
        <v>L</v>
      </c>
      <c r="AE84" s="284"/>
      <c r="AF84" s="285">
        <f>IF(AND(LEN(H84)&gt;0,$O84=1),H84*VLOOKUP($AA84,$S:$X,6,FALSE),"")</f>
        <v>1.2041945106904344</v>
      </c>
      <c r="AG84" s="285">
        <f>IF(AND(LEN(I84)&gt;0,$O84=1),I84*VLOOKUP($AA84,$S:$X,6,FALSE),"")</f>
        <v>3.6337345067234827</v>
      </c>
      <c r="AH84" s="285">
        <f>IF(AND(LEN(J84)&gt;0,$O84=1),J84*VLOOKUP($AA84,$S:$X,6,FALSE),"")</f>
        <v>4.0093803296707842</v>
      </c>
      <c r="AI84" s="285">
        <f t="shared" si="23"/>
        <v>8.8473093470847015</v>
      </c>
    </row>
    <row r="85" spans="1:35" x14ac:dyDescent="0.25">
      <c r="A85" s="232">
        <v>9</v>
      </c>
      <c r="B85" s="232" t="s">
        <v>114</v>
      </c>
      <c r="C85" s="232">
        <v>1</v>
      </c>
      <c r="D85" s="232" t="s">
        <v>254</v>
      </c>
      <c r="E85" s="232">
        <v>16</v>
      </c>
      <c r="F85" s="232" t="s">
        <v>141</v>
      </c>
      <c r="G85" s="272"/>
      <c r="H85" s="273">
        <v>4.4543495178222656</v>
      </c>
      <c r="I85" s="273">
        <v>2.2599227428436279</v>
      </c>
      <c r="J85" s="273">
        <v>2.121279239654541</v>
      </c>
      <c r="K85" s="274">
        <f>IF(AND(H85&gt;=H$3, H85&lt;=H$4),1,0)</f>
        <v>1</v>
      </c>
      <c r="L85" s="274">
        <f>IF(AND(I85&gt;=I$3, I85&lt;=I$4),1,0)</f>
        <v>1</v>
      </c>
      <c r="M85" s="274">
        <f>IF(AND(J85&gt;=J$3, J85&lt;=J$4),1,0)</f>
        <v>1</v>
      </c>
      <c r="N85" s="275">
        <f>SUM(K85:M85)</f>
        <v>3</v>
      </c>
      <c r="O85" s="274">
        <f>IF(COUNT(H85:J85)&lt;N$1,0,1)</f>
        <v>1</v>
      </c>
      <c r="P85" s="276">
        <f t="shared" si="16"/>
        <v>3</v>
      </c>
      <c r="Q85" s="277">
        <f t="shared" si="17"/>
        <v>8.8355515003204346</v>
      </c>
      <c r="Z85" s="283">
        <f t="shared" si="18"/>
        <v>16</v>
      </c>
      <c r="AA85" s="283">
        <f t="shared" si="19"/>
        <v>9</v>
      </c>
      <c r="AB85" s="283" t="str">
        <f t="shared" si="20"/>
        <v>Gerard Cutright</v>
      </c>
      <c r="AC85" s="283">
        <f t="shared" si="21"/>
        <v>1</v>
      </c>
      <c r="AD85" s="283" t="str">
        <f t="shared" si="22"/>
        <v>M</v>
      </c>
      <c r="AE85" s="284"/>
      <c r="AF85" s="285">
        <f>IF(AND(LEN(H85)&gt;0,$O85=1),H85*VLOOKUP($AA85,$S:$X,6,FALSE),"")</f>
        <v>5.1792529159115421</v>
      </c>
      <c r="AG85" s="285">
        <f>IF(AND(LEN(I85)&gt;0,$O85=1),I85*VLOOKUP($AA85,$S:$X,6,FALSE),"")</f>
        <v>2.6277038675963871</v>
      </c>
      <c r="AH85" s="285">
        <f>IF(AND(LEN(J85)&gt;0,$O85=1),J85*VLOOKUP($AA85,$S:$X,6,FALSE),"")</f>
        <v>2.4664974410932117</v>
      </c>
      <c r="AI85" s="285">
        <f t="shared" si="23"/>
        <v>10.27345422460114</v>
      </c>
    </row>
    <row r="86" spans="1:35" x14ac:dyDescent="0.25">
      <c r="A86" s="232">
        <v>9</v>
      </c>
      <c r="B86" s="232" t="s">
        <v>114</v>
      </c>
      <c r="C86" s="232">
        <v>4</v>
      </c>
      <c r="D86" s="232" t="s">
        <v>253</v>
      </c>
      <c r="E86" s="232">
        <v>18</v>
      </c>
      <c r="F86" s="232" t="s">
        <v>149</v>
      </c>
      <c r="G86" s="272"/>
      <c r="H86" s="273">
        <v>3.4529812335968018</v>
      </c>
      <c r="I86" s="273">
        <v>2.4605607986450195</v>
      </c>
      <c r="J86" s="273">
        <v>3.1797654628753662</v>
      </c>
      <c r="K86" s="274">
        <f>IF(AND(H86&gt;=H$3, H86&lt;=H$4),1,0)</f>
        <v>1</v>
      </c>
      <c r="L86" s="274">
        <f>IF(AND(I86&gt;=I$3, I86&lt;=I$4),1,0)</f>
        <v>1</v>
      </c>
      <c r="M86" s="274">
        <f>IF(AND(J86&gt;=J$3, J86&lt;=J$4),1,0)</f>
        <v>1</v>
      </c>
      <c r="N86" s="275">
        <f>SUM(K86:M86)</f>
        <v>3</v>
      </c>
      <c r="O86" s="274">
        <f>IF(COUNT(H86:J86)&lt;N$1,0,1)</f>
        <v>1</v>
      </c>
      <c r="P86" s="276">
        <f t="shared" si="16"/>
        <v>3</v>
      </c>
      <c r="Q86" s="277">
        <f t="shared" si="17"/>
        <v>9.0933074951171875</v>
      </c>
      <c r="Z86" s="283">
        <f t="shared" si="18"/>
        <v>18</v>
      </c>
      <c r="AA86" s="283">
        <f t="shared" si="19"/>
        <v>9</v>
      </c>
      <c r="AB86" s="283" t="str">
        <f t="shared" si="20"/>
        <v>Gerard Cutright</v>
      </c>
      <c r="AC86" s="283">
        <f t="shared" si="21"/>
        <v>4</v>
      </c>
      <c r="AD86" s="283" t="str">
        <f t="shared" si="22"/>
        <v>L</v>
      </c>
      <c r="AE86" s="284"/>
      <c r="AF86" s="285">
        <f>IF(AND(LEN(H86)&gt;0,$O86=1),H86*VLOOKUP($AA86,$S:$X,6,FALSE),"")</f>
        <v>4.01492138215447</v>
      </c>
      <c r="AG86" s="285">
        <f>IF(AND(LEN(I86)&gt;0,$O86=1),I86*VLOOKUP($AA86,$S:$X,6,FALSE),"")</f>
        <v>2.8609938757994757</v>
      </c>
      <c r="AH86" s="285">
        <f>IF(AND(LEN(J86)&gt;0,$O86=1),J86*VLOOKUP($AA86,$S:$X,6,FALSE),"")</f>
        <v>3.6972423200332214</v>
      </c>
      <c r="AI86" s="285">
        <f t="shared" si="23"/>
        <v>10.573157577987168</v>
      </c>
    </row>
    <row r="87" spans="1:35" x14ac:dyDescent="0.25">
      <c r="A87" s="232">
        <v>9</v>
      </c>
      <c r="B87" s="232" t="s">
        <v>114</v>
      </c>
      <c r="C87" s="232">
        <v>1</v>
      </c>
      <c r="D87" s="232" t="s">
        <v>255</v>
      </c>
      <c r="E87" s="232">
        <v>20</v>
      </c>
      <c r="F87" s="232" t="s">
        <v>157</v>
      </c>
      <c r="G87" s="272"/>
      <c r="H87" s="273">
        <v>3.5463213920593262</v>
      </c>
      <c r="I87" s="273">
        <v>3.6241438388824463</v>
      </c>
      <c r="J87" s="273">
        <v>1.6082057952880859</v>
      </c>
      <c r="K87" s="274">
        <f>IF(AND(H87&gt;=H$3, H87&lt;=H$4),1,0)</f>
        <v>1</v>
      </c>
      <c r="L87" s="274">
        <f>IF(AND(I87&gt;=I$3, I87&lt;=I$4),1,0)</f>
        <v>1</v>
      </c>
      <c r="M87" s="274">
        <f>IF(AND(J87&gt;=J$3, J87&lt;=J$4),1,0)</f>
        <v>1</v>
      </c>
      <c r="N87" s="275">
        <f>SUM(K87:M87)</f>
        <v>3</v>
      </c>
      <c r="O87" s="274">
        <f>IF(COUNT(H87:J87)&lt;N$1,0,1)</f>
        <v>1</v>
      </c>
      <c r="P87" s="276">
        <f t="shared" si="16"/>
        <v>3</v>
      </c>
      <c r="Q87" s="277">
        <f t="shared" si="17"/>
        <v>8.7786710262298584</v>
      </c>
      <c r="Z87" s="283">
        <f t="shared" si="18"/>
        <v>20</v>
      </c>
      <c r="AA87" s="283">
        <f t="shared" si="19"/>
        <v>9</v>
      </c>
      <c r="AB87" s="283" t="str">
        <f t="shared" si="20"/>
        <v>Gerard Cutright</v>
      </c>
      <c r="AC87" s="283">
        <f t="shared" si="21"/>
        <v>1</v>
      </c>
      <c r="AD87" s="283" t="str">
        <f t="shared" si="22"/>
        <v>H</v>
      </c>
      <c r="AE87" s="284"/>
      <c r="AF87" s="285">
        <f>IF(AND(LEN(H87)&gt;0,$O87=1),H87*VLOOKUP($AA87,$S:$X,6,FALSE),"")</f>
        <v>4.1234517715984094</v>
      </c>
      <c r="AG87" s="285">
        <f>IF(AND(LEN(I87)&gt;0,$O87=1),I87*VLOOKUP($AA87,$S:$X,6,FALSE),"")</f>
        <v>4.2139390881009264</v>
      </c>
      <c r="AH87" s="285">
        <f>IF(AND(LEN(J87)&gt;0,$O87=1),J87*VLOOKUP($AA87,$S:$X,6,FALSE),"")</f>
        <v>1.8699261297986023</v>
      </c>
      <c r="AI87" s="285">
        <f t="shared" si="23"/>
        <v>10.207316989497938</v>
      </c>
    </row>
    <row r="88" spans="1:35" x14ac:dyDescent="0.25">
      <c r="A88" s="232">
        <v>9</v>
      </c>
      <c r="B88" s="232" t="s">
        <v>114</v>
      </c>
      <c r="C88" s="232">
        <v>1</v>
      </c>
      <c r="D88" s="232" t="s">
        <v>253</v>
      </c>
      <c r="E88" s="232">
        <v>24</v>
      </c>
      <c r="F88" s="232" t="s">
        <v>173</v>
      </c>
      <c r="G88" s="272"/>
      <c r="H88" s="273">
        <v>3.753432035446167</v>
      </c>
      <c r="I88" s="273">
        <v>4.7755169868469238</v>
      </c>
      <c r="J88" s="273">
        <v>4.0859711170196533</v>
      </c>
      <c r="K88" s="274">
        <f>IF(AND(H88&gt;=H$3, H88&lt;=H$4),1,0)</f>
        <v>1</v>
      </c>
      <c r="L88" s="274">
        <f>IF(AND(I88&gt;=I$3, I88&lt;=I$4),1,0)</f>
        <v>1</v>
      </c>
      <c r="M88" s="274">
        <f>IF(AND(J88&gt;=J$3, J88&lt;=J$4),1,0)</f>
        <v>1</v>
      </c>
      <c r="N88" s="275">
        <f>SUM(K88:M88)</f>
        <v>3</v>
      </c>
      <c r="O88" s="274">
        <f>IF(COUNT(H88:J88)&lt;N$1,0,1)</f>
        <v>1</v>
      </c>
      <c r="P88" s="276">
        <f t="shared" si="16"/>
        <v>3</v>
      </c>
      <c r="Q88" s="277">
        <f t="shared" si="17"/>
        <v>12.614920139312744</v>
      </c>
      <c r="Z88" s="283">
        <f t="shared" si="18"/>
        <v>24</v>
      </c>
      <c r="AA88" s="283">
        <f t="shared" si="19"/>
        <v>9</v>
      </c>
      <c r="AB88" s="283" t="str">
        <f t="shared" si="20"/>
        <v>Gerard Cutright</v>
      </c>
      <c r="AC88" s="283">
        <f t="shared" si="21"/>
        <v>1</v>
      </c>
      <c r="AD88" s="283" t="str">
        <f t="shared" si="22"/>
        <v>L</v>
      </c>
      <c r="AE88" s="284"/>
      <c r="AF88" s="285">
        <f>IF(AND(LEN(H88)&gt;0,$O88=1),H88*VLOOKUP($AA88,$S:$X,6,FALSE),"")</f>
        <v>4.3642677200069766</v>
      </c>
      <c r="AG88" s="285">
        <f>IF(AND(LEN(I88)&gt;0,$O88=1),I88*VLOOKUP($AA88,$S:$X,6,FALSE),"")</f>
        <v>5.5526873632503602</v>
      </c>
      <c r="AH88" s="285">
        <f>IF(AND(LEN(J88)&gt;0,$O88=1),J88*VLOOKUP($AA88,$S:$X,6,FALSE),"")</f>
        <v>4.750924402650071</v>
      </c>
      <c r="AI88" s="285">
        <f t="shared" si="23"/>
        <v>14.667879485907408</v>
      </c>
    </row>
    <row r="89" spans="1:35" x14ac:dyDescent="0.25">
      <c r="A89" s="232">
        <v>10</v>
      </c>
      <c r="B89" s="232" t="s">
        <v>118</v>
      </c>
      <c r="C89" s="232">
        <v>3</v>
      </c>
      <c r="D89" s="232" t="s">
        <v>253</v>
      </c>
      <c r="E89" s="232">
        <v>1</v>
      </c>
      <c r="F89" s="232" t="s">
        <v>81</v>
      </c>
      <c r="G89" s="272"/>
      <c r="H89" s="273">
        <v>4.7744817733764648</v>
      </c>
      <c r="I89" s="273">
        <v>1.5993306636810303</v>
      </c>
      <c r="J89" s="273">
        <v>2.203641414642334</v>
      </c>
      <c r="K89" s="274">
        <f>IF(AND(H89&gt;=H$3, H89&lt;=H$4),1,0)</f>
        <v>1</v>
      </c>
      <c r="L89" s="274">
        <f>IF(AND(I89&gt;=I$3, I89&lt;=I$4),1,0)</f>
        <v>1</v>
      </c>
      <c r="M89" s="274">
        <f>IF(AND(J89&gt;=J$3, J89&lt;=J$4),1,0)</f>
        <v>1</v>
      </c>
      <c r="N89" s="275">
        <f>SUM(K89:M89)</f>
        <v>3</v>
      </c>
      <c r="O89" s="274">
        <f>IF(COUNT(H89:J89)&lt;N$1,0,1)</f>
        <v>1</v>
      </c>
      <c r="P89" s="276">
        <f t="shared" si="16"/>
        <v>3</v>
      </c>
      <c r="Q89" s="277">
        <f t="shared" si="17"/>
        <v>8.5774538516998291</v>
      </c>
      <c r="Z89" s="283">
        <f t="shared" si="18"/>
        <v>1</v>
      </c>
      <c r="AA89" s="283">
        <f t="shared" si="19"/>
        <v>10</v>
      </c>
      <c r="AB89" s="283" t="str">
        <f t="shared" si="20"/>
        <v>Rueben Dagenhart</v>
      </c>
      <c r="AC89" s="283">
        <f t="shared" si="21"/>
        <v>3</v>
      </c>
      <c r="AD89" s="283" t="str">
        <f t="shared" si="22"/>
        <v>L</v>
      </c>
      <c r="AE89" s="284"/>
      <c r="AF89" s="285">
        <f>IF(AND(LEN(H89)&gt;0,$O89=1),H89*VLOOKUP($AA89,$S:$X,6,FALSE),"")</f>
        <v>5.4789579816367624</v>
      </c>
      <c r="AG89" s="285">
        <f>IF(AND(LEN(I89)&gt;0,$O89=1),I89*VLOOKUP($AA89,$S:$X,6,FALSE),"")</f>
        <v>1.8353123796417246</v>
      </c>
      <c r="AH89" s="285">
        <f>IF(AND(LEN(J89)&gt;0,$O89=1),J89*VLOOKUP($AA89,$S:$X,6,FALSE),"")</f>
        <v>2.5287893619670418</v>
      </c>
      <c r="AI89" s="285">
        <f t="shared" si="23"/>
        <v>9.8430597232455277</v>
      </c>
    </row>
    <row r="90" spans="1:35" x14ac:dyDescent="0.25">
      <c r="A90" s="232">
        <v>10</v>
      </c>
      <c r="B90" s="232" t="s">
        <v>118</v>
      </c>
      <c r="C90" s="232">
        <v>3</v>
      </c>
      <c r="D90" s="232" t="s">
        <v>253</v>
      </c>
      <c r="E90" s="232">
        <v>2</v>
      </c>
      <c r="F90" s="232" t="s">
        <v>85</v>
      </c>
      <c r="G90" s="272"/>
      <c r="H90" s="273">
        <v>3.9041368961334229</v>
      </c>
      <c r="I90" s="273">
        <v>2.0123672485351563</v>
      </c>
      <c r="J90" s="273">
        <v>4.8085258007049561</v>
      </c>
      <c r="K90" s="274">
        <f>IF(AND(H90&gt;=H$3, H90&lt;=H$4),1,0)</f>
        <v>1</v>
      </c>
      <c r="L90" s="274">
        <f>IF(AND(I90&gt;=I$3, I90&lt;=I$4),1,0)</f>
        <v>1</v>
      </c>
      <c r="M90" s="274">
        <f>IF(AND(J90&gt;=J$3, J90&lt;=J$4),1,0)</f>
        <v>1</v>
      </c>
      <c r="N90" s="275">
        <f>SUM(K90:M90)</f>
        <v>3</v>
      </c>
      <c r="O90" s="274">
        <f>IF(COUNT(H90:J90)&lt;N$1,0,1)</f>
        <v>1</v>
      </c>
      <c r="P90" s="276">
        <f t="shared" si="16"/>
        <v>3</v>
      </c>
      <c r="Q90" s="277">
        <f t="shared" si="17"/>
        <v>10.725029945373535</v>
      </c>
      <c r="Z90" s="283">
        <f t="shared" si="18"/>
        <v>2</v>
      </c>
      <c r="AA90" s="283">
        <f t="shared" si="19"/>
        <v>10</v>
      </c>
      <c r="AB90" s="283" t="str">
        <f t="shared" si="20"/>
        <v>Rueben Dagenhart</v>
      </c>
      <c r="AC90" s="283">
        <f t="shared" si="21"/>
        <v>3</v>
      </c>
      <c r="AD90" s="283" t="str">
        <f t="shared" si="22"/>
        <v>L</v>
      </c>
      <c r="AE90" s="284"/>
      <c r="AF90" s="285">
        <f>IF(AND(LEN(H90)&gt;0,$O90=1),H90*VLOOKUP($AA90,$S:$X,6,FALSE),"")</f>
        <v>4.4801934584296417</v>
      </c>
      <c r="AG90" s="285">
        <f>IF(AND(LEN(I90)&gt;0,$O90=1),I90*VLOOKUP($AA90,$S:$X,6,FALSE),"")</f>
        <v>2.3092926356589394</v>
      </c>
      <c r="AH90" s="285">
        <f>IF(AND(LEN(J90)&gt;0,$O90=1),J90*VLOOKUP($AA90,$S:$X,6,FALSE),"")</f>
        <v>5.5180252153412876</v>
      </c>
      <c r="AI90" s="285">
        <f t="shared" si="23"/>
        <v>12.307511309429868</v>
      </c>
    </row>
    <row r="91" spans="1:35" x14ac:dyDescent="0.25">
      <c r="A91" s="232">
        <v>10</v>
      </c>
      <c r="B91" s="232" t="s">
        <v>118</v>
      </c>
      <c r="C91" s="232">
        <v>2</v>
      </c>
      <c r="D91" s="232" t="s">
        <v>254</v>
      </c>
      <c r="E91" s="232">
        <v>3</v>
      </c>
      <c r="F91" s="232" t="s">
        <v>89</v>
      </c>
      <c r="G91" s="272"/>
      <c r="H91" s="273">
        <v>4.8075013160705566</v>
      </c>
      <c r="I91" s="273">
        <v>4.3982212543487549</v>
      </c>
      <c r="J91" s="273">
        <v>4.6131219863891602</v>
      </c>
      <c r="K91" s="274">
        <f>IF(AND(H91&gt;=H$3, H91&lt;=H$4),1,0)</f>
        <v>1</v>
      </c>
      <c r="L91" s="274">
        <f>IF(AND(I91&gt;=I$3, I91&lt;=I$4),1,0)</f>
        <v>1</v>
      </c>
      <c r="M91" s="274">
        <f>IF(AND(J91&gt;=J$3, J91&lt;=J$4),1,0)</f>
        <v>1</v>
      </c>
      <c r="N91" s="275">
        <f>SUM(K91:M91)</f>
        <v>3</v>
      </c>
      <c r="O91" s="274">
        <f>IF(COUNT(H91:J91)&lt;N$1,0,1)</f>
        <v>1</v>
      </c>
      <c r="P91" s="276">
        <f t="shared" si="16"/>
        <v>3</v>
      </c>
      <c r="Q91" s="277">
        <f t="shared" si="17"/>
        <v>13.818844556808472</v>
      </c>
      <c r="Z91" s="283">
        <f t="shared" si="18"/>
        <v>3</v>
      </c>
      <c r="AA91" s="283">
        <f t="shared" si="19"/>
        <v>10</v>
      </c>
      <c r="AB91" s="283" t="str">
        <f t="shared" si="20"/>
        <v>Rueben Dagenhart</v>
      </c>
      <c r="AC91" s="283">
        <f t="shared" si="21"/>
        <v>2</v>
      </c>
      <c r="AD91" s="283" t="str">
        <f t="shared" si="22"/>
        <v>M</v>
      </c>
      <c r="AE91" s="284"/>
      <c r="AF91" s="285">
        <f>IF(AND(LEN(H91)&gt;0,$O91=1),H91*VLOOKUP($AA91,$S:$X,6,FALSE),"")</f>
        <v>5.5168495676938285</v>
      </c>
      <c r="AG91" s="285">
        <f>IF(AND(LEN(I91)&gt;0,$O91=1),I91*VLOOKUP($AA91,$S:$X,6,FALSE),"")</f>
        <v>5.0471801109164014</v>
      </c>
      <c r="AH91" s="285">
        <f>IF(AND(LEN(J91)&gt;0,$O91=1),J91*VLOOKUP($AA91,$S:$X,6,FALSE),"")</f>
        <v>5.2937895100009209</v>
      </c>
      <c r="AI91" s="285">
        <f t="shared" si="23"/>
        <v>15.857819188611149</v>
      </c>
    </row>
    <row r="92" spans="1:35" x14ac:dyDescent="0.25">
      <c r="A92" s="232">
        <v>10</v>
      </c>
      <c r="B92" s="232" t="s">
        <v>118</v>
      </c>
      <c r="C92" s="232">
        <v>1</v>
      </c>
      <c r="D92" s="232" t="s">
        <v>253</v>
      </c>
      <c r="E92" s="232">
        <v>4</v>
      </c>
      <c r="F92" s="232" t="s">
        <v>93</v>
      </c>
      <c r="G92" s="272"/>
      <c r="H92" s="273">
        <v>1.7572381496429443</v>
      </c>
      <c r="I92" s="273">
        <v>4.7084345817565918</v>
      </c>
      <c r="J92" s="273">
        <v>1.4542105197906494</v>
      </c>
      <c r="K92" s="274">
        <f>IF(AND(H92&gt;=H$3, H92&lt;=H$4),1,0)</f>
        <v>1</v>
      </c>
      <c r="L92" s="274">
        <f>IF(AND(I92&gt;=I$3, I92&lt;=I$4),1,0)</f>
        <v>1</v>
      </c>
      <c r="M92" s="274">
        <f>IF(AND(J92&gt;=J$3, J92&lt;=J$4),1,0)</f>
        <v>1</v>
      </c>
      <c r="N92" s="275">
        <f>SUM(K92:M92)</f>
        <v>3</v>
      </c>
      <c r="O92" s="274">
        <f>IF(COUNT(H92:J92)&lt;N$1,0,1)</f>
        <v>1</v>
      </c>
      <c r="P92" s="276">
        <f t="shared" si="16"/>
        <v>3</v>
      </c>
      <c r="Q92" s="277">
        <f t="shared" si="17"/>
        <v>7.9198832511901855</v>
      </c>
      <c r="Z92" s="283">
        <f t="shared" si="18"/>
        <v>4</v>
      </c>
      <c r="AA92" s="283">
        <f t="shared" si="19"/>
        <v>10</v>
      </c>
      <c r="AB92" s="283" t="str">
        <f t="shared" si="20"/>
        <v>Rueben Dagenhart</v>
      </c>
      <c r="AC92" s="283">
        <f t="shared" si="21"/>
        <v>1</v>
      </c>
      <c r="AD92" s="283" t="str">
        <f t="shared" si="22"/>
        <v>L</v>
      </c>
      <c r="AE92" s="284"/>
      <c r="AF92" s="285">
        <f>IF(AND(LEN(H92)&gt;0,$O92=1),H92*VLOOKUP($AA92,$S:$X,6,FALSE),"")</f>
        <v>2.0165191622072354</v>
      </c>
      <c r="AG92" s="285">
        <f>IF(AND(LEN(I92)&gt;0,$O92=1),I92*VLOOKUP($AA92,$S:$X,6,FALSE),"")</f>
        <v>5.4031655072140383</v>
      </c>
      <c r="AH92" s="285">
        <f>IF(AND(LEN(J92)&gt;0,$O92=1),J92*VLOOKUP($AA92,$S:$X,6,FALSE),"")</f>
        <v>1.668779715280502</v>
      </c>
      <c r="AI92" s="285">
        <f t="shared" si="23"/>
        <v>9.0884643847017763</v>
      </c>
    </row>
    <row r="93" spans="1:35" x14ac:dyDescent="0.25">
      <c r="A93" s="232">
        <v>10</v>
      </c>
      <c r="B93" s="232" t="s">
        <v>118</v>
      </c>
      <c r="C93" s="232">
        <v>1</v>
      </c>
      <c r="D93" s="232" t="s">
        <v>253</v>
      </c>
      <c r="E93" s="232">
        <v>5</v>
      </c>
      <c r="F93" s="232" t="s">
        <v>97</v>
      </c>
      <c r="G93" s="272"/>
      <c r="H93" s="273">
        <v>4.1687870025634766</v>
      </c>
      <c r="I93" s="273">
        <v>3.9193446636199951</v>
      </c>
      <c r="J93" s="273">
        <v>4.7348103523254395</v>
      </c>
      <c r="K93" s="274">
        <f>IF(AND(H93&gt;=H$3, H93&lt;=H$4),1,0)</f>
        <v>1</v>
      </c>
      <c r="L93" s="274">
        <f>IF(AND(I93&gt;=I$3, I93&lt;=I$4),1,0)</f>
        <v>1</v>
      </c>
      <c r="M93" s="274">
        <f>IF(AND(J93&gt;=J$3, J93&lt;=J$4),1,0)</f>
        <v>1</v>
      </c>
      <c r="N93" s="275">
        <f>SUM(K93:M93)</f>
        <v>3</v>
      </c>
      <c r="O93" s="274">
        <f>IF(COUNT(H93:J93)&lt;N$1,0,1)</f>
        <v>1</v>
      </c>
      <c r="P93" s="276">
        <f t="shared" si="16"/>
        <v>3</v>
      </c>
      <c r="Q93" s="277">
        <f t="shared" si="17"/>
        <v>12.822942018508911</v>
      </c>
      <c r="Z93" s="283">
        <f t="shared" si="18"/>
        <v>5</v>
      </c>
      <c r="AA93" s="283">
        <f t="shared" si="19"/>
        <v>10</v>
      </c>
      <c r="AB93" s="283" t="str">
        <f t="shared" si="20"/>
        <v>Rueben Dagenhart</v>
      </c>
      <c r="AC93" s="283">
        <f t="shared" si="21"/>
        <v>1</v>
      </c>
      <c r="AD93" s="283" t="str">
        <f t="shared" si="22"/>
        <v>L</v>
      </c>
      <c r="AE93" s="284"/>
      <c r="AF93" s="285">
        <f>IF(AND(LEN(H93)&gt;0,$O93=1),H93*VLOOKUP($AA93,$S:$X,6,FALSE),"")</f>
        <v>4.7838927669182629</v>
      </c>
      <c r="AG93" s="285">
        <f>IF(AND(LEN(I93)&gt;0,$O93=1),I93*VLOOKUP($AA93,$S:$X,6,FALSE),"")</f>
        <v>4.4976451365401449</v>
      </c>
      <c r="AH93" s="285">
        <f>IF(AND(LEN(J93)&gt;0,$O93=1),J93*VLOOKUP($AA93,$S:$X,6,FALSE),"")</f>
        <v>5.4334330305892111</v>
      </c>
      <c r="AI93" s="285">
        <f t="shared" si="23"/>
        <v>14.714970934047617</v>
      </c>
    </row>
    <row r="94" spans="1:35" x14ac:dyDescent="0.25">
      <c r="A94" s="232">
        <v>10</v>
      </c>
      <c r="B94" s="232" t="s">
        <v>118</v>
      </c>
      <c r="C94" s="232">
        <v>4</v>
      </c>
      <c r="D94" s="232" t="s">
        <v>253</v>
      </c>
      <c r="E94" s="232">
        <v>8</v>
      </c>
      <c r="F94" s="232" t="s">
        <v>109</v>
      </c>
      <c r="G94" s="272"/>
      <c r="H94" s="273">
        <v>2.8369972705841064</v>
      </c>
      <c r="I94" s="273">
        <v>4.6346845626831055</v>
      </c>
      <c r="J94" s="273">
        <v>1.6788785457611084</v>
      </c>
      <c r="K94" s="274">
        <f>IF(AND(H94&gt;=H$3, H94&lt;=H$4),1,0)</f>
        <v>1</v>
      </c>
      <c r="L94" s="274">
        <f>IF(AND(I94&gt;=I$3, I94&lt;=I$4),1,0)</f>
        <v>1</v>
      </c>
      <c r="M94" s="274">
        <f>IF(AND(J94&gt;=J$3, J94&lt;=J$4),1,0)</f>
        <v>1</v>
      </c>
      <c r="N94" s="275">
        <f>SUM(K94:M94)</f>
        <v>3</v>
      </c>
      <c r="O94" s="274">
        <f>IF(COUNT(H94:J94)&lt;N$1,0,1)</f>
        <v>1</v>
      </c>
      <c r="P94" s="276">
        <f t="shared" si="16"/>
        <v>3</v>
      </c>
      <c r="Q94" s="277">
        <f t="shared" si="17"/>
        <v>9.1505603790283203</v>
      </c>
      <c r="Z94" s="283">
        <f t="shared" si="18"/>
        <v>8</v>
      </c>
      <c r="AA94" s="283">
        <f t="shared" si="19"/>
        <v>10</v>
      </c>
      <c r="AB94" s="283" t="str">
        <f t="shared" si="20"/>
        <v>Rueben Dagenhart</v>
      </c>
      <c r="AC94" s="283">
        <f t="shared" si="21"/>
        <v>4</v>
      </c>
      <c r="AD94" s="283" t="str">
        <f t="shared" si="22"/>
        <v>L</v>
      </c>
      <c r="AE94" s="284"/>
      <c r="AF94" s="285">
        <f>IF(AND(LEN(H94)&gt;0,$O94=1),H94*VLOOKUP($AA94,$S:$X,6,FALSE),"")</f>
        <v>3.2555970631669391</v>
      </c>
      <c r="AG94" s="285">
        <f>IF(AND(LEN(I94)&gt;0,$O94=1),I94*VLOOKUP($AA94,$S:$X,6,FALSE),"")</f>
        <v>5.318533650851796</v>
      </c>
      <c r="AH94" s="285">
        <f>IF(AND(LEN(J94)&gt;0,$O94=1),J94*VLOOKUP($AA94,$S:$X,6,FALSE),"")</f>
        <v>1.9265975754247053</v>
      </c>
      <c r="AI94" s="285">
        <f t="shared" si="23"/>
        <v>10.50072828944344</v>
      </c>
    </row>
    <row r="95" spans="1:35" x14ac:dyDescent="0.25">
      <c r="A95" s="232">
        <v>10</v>
      </c>
      <c r="B95" s="232" t="s">
        <v>118</v>
      </c>
      <c r="C95" s="232">
        <v>1</v>
      </c>
      <c r="D95" s="232" t="s">
        <v>253</v>
      </c>
      <c r="E95" s="232">
        <v>9</v>
      </c>
      <c r="F95" s="232" t="s">
        <v>113</v>
      </c>
      <c r="G95" s="272"/>
      <c r="H95" s="273">
        <v>2.9845290184020996</v>
      </c>
      <c r="I95" s="273">
        <v>2.502880334854126</v>
      </c>
      <c r="J95" s="273">
        <v>3.3919181823730469</v>
      </c>
      <c r="K95" s="274">
        <f>IF(AND(H95&gt;=H$3, H95&lt;=H$4),1,0)</f>
        <v>1</v>
      </c>
      <c r="L95" s="274">
        <f>IF(AND(I95&gt;=I$3, I95&lt;=I$4),1,0)</f>
        <v>1</v>
      </c>
      <c r="M95" s="274">
        <f>IF(AND(J95&gt;=J$3, J95&lt;=J$4),1,0)</f>
        <v>1</v>
      </c>
      <c r="N95" s="275">
        <f>SUM(K95:M95)</f>
        <v>3</v>
      </c>
      <c r="O95" s="274">
        <f>IF(COUNT(H95:J95)&lt;N$1,0,1)</f>
        <v>1</v>
      </c>
      <c r="P95" s="276">
        <f t="shared" si="16"/>
        <v>3</v>
      </c>
      <c r="Q95" s="277">
        <f t="shared" si="17"/>
        <v>8.8793275356292725</v>
      </c>
      <c r="Z95" s="283">
        <f t="shared" si="18"/>
        <v>9</v>
      </c>
      <c r="AA95" s="283">
        <f t="shared" si="19"/>
        <v>10</v>
      </c>
      <c r="AB95" s="283" t="str">
        <f t="shared" si="20"/>
        <v>Rueben Dagenhart</v>
      </c>
      <c r="AC95" s="283">
        <f t="shared" si="21"/>
        <v>1</v>
      </c>
      <c r="AD95" s="283" t="str">
        <f t="shared" si="22"/>
        <v>L</v>
      </c>
      <c r="AE95" s="284"/>
      <c r="AF95" s="285">
        <f>IF(AND(LEN(H95)&gt;0,$O95=1),H95*VLOOKUP($AA95,$S:$X,6,FALSE),"")</f>
        <v>3.4248971643338515</v>
      </c>
      <c r="AG95" s="285">
        <f>IF(AND(LEN(I95)&gt;0,$O95=1),I95*VLOOKUP($AA95,$S:$X,6,FALSE),"")</f>
        <v>2.8721810740169369</v>
      </c>
      <c r="AH95" s="285">
        <f>IF(AND(LEN(J95)&gt;0,$O95=1),J95*VLOOKUP($AA95,$S:$X,6,FALSE),"")</f>
        <v>3.8923967208338763</v>
      </c>
      <c r="AI95" s="285">
        <f t="shared" si="23"/>
        <v>10.189474959184665</v>
      </c>
    </row>
    <row r="96" spans="1:35" x14ac:dyDescent="0.25">
      <c r="A96" s="232">
        <v>10</v>
      </c>
      <c r="B96" s="232" t="s">
        <v>118</v>
      </c>
      <c r="C96" s="232">
        <v>3</v>
      </c>
      <c r="D96" s="232" t="s">
        <v>254</v>
      </c>
      <c r="E96" s="232">
        <v>12</v>
      </c>
      <c r="F96" s="232" t="s">
        <v>125</v>
      </c>
      <c r="G96" s="272"/>
      <c r="H96" s="273">
        <v>1.1425292491912842</v>
      </c>
      <c r="I96" s="273">
        <v>2.3875222206115723</v>
      </c>
      <c r="J96" s="273">
        <v>3.912064790725708</v>
      </c>
      <c r="K96" s="274">
        <f>IF(AND(H96&gt;=H$3, H96&lt;=H$4),1,0)</f>
        <v>1</v>
      </c>
      <c r="L96" s="274">
        <f>IF(AND(I96&gt;=I$3, I96&lt;=I$4),1,0)</f>
        <v>1</v>
      </c>
      <c r="M96" s="274">
        <f>IF(AND(J96&gt;=J$3, J96&lt;=J$4),1,0)</f>
        <v>1</v>
      </c>
      <c r="N96" s="275">
        <f>SUM(K96:M96)</f>
        <v>3</v>
      </c>
      <c r="O96" s="274">
        <f>IF(COUNT(H96:J96)&lt;N$1,0,1)</f>
        <v>1</v>
      </c>
      <c r="P96" s="276">
        <f t="shared" si="16"/>
        <v>3</v>
      </c>
      <c r="Q96" s="277">
        <f t="shared" si="17"/>
        <v>7.4421162605285645</v>
      </c>
      <c r="Z96" s="283">
        <f t="shared" si="18"/>
        <v>12</v>
      </c>
      <c r="AA96" s="283">
        <f t="shared" si="19"/>
        <v>10</v>
      </c>
      <c r="AB96" s="283" t="str">
        <f t="shared" si="20"/>
        <v>Rueben Dagenhart</v>
      </c>
      <c r="AC96" s="283">
        <f t="shared" si="21"/>
        <v>3</v>
      </c>
      <c r="AD96" s="283" t="str">
        <f t="shared" si="22"/>
        <v>M</v>
      </c>
      <c r="AE96" s="284"/>
      <c r="AF96" s="285">
        <f>IF(AND(LEN(H96)&gt;0,$O96=1),H96*VLOOKUP($AA96,$S:$X,6,FALSE),"")</f>
        <v>1.3111097803360399</v>
      </c>
      <c r="AG96" s="285">
        <f>IF(AND(LEN(I96)&gt;0,$O96=1),I96*VLOOKUP($AA96,$S:$X,6,FALSE),"")</f>
        <v>2.7398018356459355</v>
      </c>
      <c r="AH96" s="285">
        <f>IF(AND(LEN(J96)&gt;0,$O96=1),J96*VLOOKUP($AA96,$S:$X,6,FALSE),"")</f>
        <v>4.4892911162312039</v>
      </c>
      <c r="AI96" s="285">
        <f t="shared" si="23"/>
        <v>8.5402027322131797</v>
      </c>
    </row>
    <row r="97" spans="1:35" x14ac:dyDescent="0.25">
      <c r="A97" s="232">
        <v>10</v>
      </c>
      <c r="B97" s="232" t="s">
        <v>118</v>
      </c>
      <c r="C97" s="232">
        <v>2</v>
      </c>
      <c r="D97" s="232" t="s">
        <v>254</v>
      </c>
      <c r="E97" s="232">
        <v>22</v>
      </c>
      <c r="F97" s="232" t="s">
        <v>165</v>
      </c>
      <c r="G97" s="272"/>
      <c r="H97" s="273">
        <v>1.3098726272583008</v>
      </c>
      <c r="I97" s="273">
        <v>1.9521424770355225</v>
      </c>
      <c r="J97" s="273">
        <v>1.2682528495788574</v>
      </c>
      <c r="K97" s="274">
        <f>IF(AND(H97&gt;=H$3, H97&lt;=H$4),1,0)</f>
        <v>1</v>
      </c>
      <c r="L97" s="274">
        <f>IF(AND(I97&gt;=I$3, I97&lt;=I$4),1,0)</f>
        <v>1</v>
      </c>
      <c r="M97" s="274">
        <f>IF(AND(J97&gt;=J$3, J97&lt;=J$4),1,0)</f>
        <v>1</v>
      </c>
      <c r="N97" s="275">
        <f>SUM(K97:M97)</f>
        <v>3</v>
      </c>
      <c r="O97" s="274">
        <f>IF(COUNT(H97:J97)&lt;N$1,0,1)</f>
        <v>1</v>
      </c>
      <c r="P97" s="276">
        <f t="shared" si="16"/>
        <v>3</v>
      </c>
      <c r="Q97" s="277">
        <f t="shared" si="17"/>
        <v>4.5302679538726807</v>
      </c>
      <c r="Z97" s="283">
        <f t="shared" si="18"/>
        <v>22</v>
      </c>
      <c r="AA97" s="283">
        <f t="shared" si="19"/>
        <v>10</v>
      </c>
      <c r="AB97" s="283" t="str">
        <f t="shared" si="20"/>
        <v>Rueben Dagenhart</v>
      </c>
      <c r="AC97" s="283">
        <f t="shared" si="21"/>
        <v>2</v>
      </c>
      <c r="AD97" s="283" t="str">
        <f t="shared" si="22"/>
        <v>M</v>
      </c>
      <c r="AE97" s="284"/>
      <c r="AF97" s="285">
        <f>IF(AND(LEN(H97)&gt;0,$O97=1),H97*VLOOKUP($AA97,$S:$X,6,FALSE),"")</f>
        <v>1.5031447236982678</v>
      </c>
      <c r="AG97" s="285">
        <f>IF(AND(LEN(I97)&gt;0,$O97=1),I97*VLOOKUP($AA97,$S:$X,6,FALSE),"")</f>
        <v>2.2401816811800375</v>
      </c>
      <c r="AH97" s="285">
        <f>IF(AND(LEN(J97)&gt;0,$O97=1),J97*VLOOKUP($AA97,$S:$X,6,FALSE),"")</f>
        <v>1.4553839354212459</v>
      </c>
      <c r="AI97" s="285">
        <f t="shared" si="23"/>
        <v>5.1987103402995514</v>
      </c>
    </row>
    <row r="98" spans="1:35" x14ac:dyDescent="0.25">
      <c r="A98" s="232">
        <v>10</v>
      </c>
      <c r="B98" s="232" t="s">
        <v>118</v>
      </c>
      <c r="C98" s="232">
        <v>2</v>
      </c>
      <c r="D98" s="232" t="s">
        <v>253</v>
      </c>
      <c r="E98" s="232">
        <v>25</v>
      </c>
      <c r="F98" s="232" t="s">
        <v>177</v>
      </c>
      <c r="G98" s="272"/>
      <c r="H98" s="273">
        <v>4.3411619663238525</v>
      </c>
      <c r="I98" s="273">
        <v>1.8087139129638672</v>
      </c>
      <c r="J98" s="273">
        <v>4.0972201824188232</v>
      </c>
      <c r="K98" s="274">
        <f>IF(AND(H98&gt;=H$3, H98&lt;=H$4),1,0)</f>
        <v>1</v>
      </c>
      <c r="L98" s="274">
        <f>IF(AND(I98&gt;=I$3, I98&lt;=I$4),1,0)</f>
        <v>1</v>
      </c>
      <c r="M98" s="274">
        <f>IF(AND(J98&gt;=J$3, J98&lt;=J$4),1,0)</f>
        <v>1</v>
      </c>
      <c r="N98" s="275">
        <f>SUM(K98:M98)</f>
        <v>3</v>
      </c>
      <c r="O98" s="274">
        <f>IF(COUNT(H98:J98)&lt;N$1,0,1)</f>
        <v>1</v>
      </c>
      <c r="P98" s="276">
        <f t="shared" si="16"/>
        <v>3</v>
      </c>
      <c r="Q98" s="277">
        <f t="shared" si="17"/>
        <v>10.247096061706543</v>
      </c>
      <c r="Z98" s="283">
        <f t="shared" si="18"/>
        <v>25</v>
      </c>
      <c r="AA98" s="283">
        <f t="shared" si="19"/>
        <v>10</v>
      </c>
      <c r="AB98" s="283" t="str">
        <f t="shared" si="20"/>
        <v>Rueben Dagenhart</v>
      </c>
      <c r="AC98" s="283">
        <f t="shared" si="21"/>
        <v>2</v>
      </c>
      <c r="AD98" s="283" t="str">
        <f t="shared" si="22"/>
        <v>L</v>
      </c>
      <c r="AE98" s="284"/>
      <c r="AF98" s="285">
        <f>IF(AND(LEN(H98)&gt;0,$O98=1),H98*VLOOKUP($AA98,$S:$X,6,FALSE),"")</f>
        <v>4.9817017079421104</v>
      </c>
      <c r="AG98" s="285">
        <f>IF(AND(LEN(I98)&gt;0,$O98=1),I98*VLOOKUP($AA98,$S:$X,6,FALSE),"")</f>
        <v>2.0755901897438145</v>
      </c>
      <c r="AH98" s="285">
        <f>IF(AND(LEN(J98)&gt;0,$O98=1),J98*VLOOKUP($AA98,$S:$X,6,FALSE),"")</f>
        <v>4.7017662411373067</v>
      </c>
      <c r="AI98" s="285">
        <f t="shared" si="23"/>
        <v>11.759058138823232</v>
      </c>
    </row>
    <row r="99" spans="1:35" x14ac:dyDescent="0.25">
      <c r="A99" s="232"/>
      <c r="B99" s="232"/>
      <c r="C99" s="232"/>
      <c r="D99" s="232"/>
      <c r="E99" s="232"/>
      <c r="F99" s="232"/>
      <c r="G99" s="272"/>
      <c r="H99" s="273"/>
      <c r="I99" s="273"/>
      <c r="J99" s="273"/>
      <c r="K99" s="274">
        <f>IF(AND(H99&gt;=H$3, H99&lt;=H$4),1,0)</f>
        <v>0</v>
      </c>
      <c r="L99" s="274">
        <f>IF(AND(I99&gt;=I$3, I99&lt;=I$4),1,0)</f>
        <v>0</v>
      </c>
      <c r="M99" s="274">
        <f>IF(AND(J99&gt;=J$3, J99&lt;=J$4),1,0)</f>
        <v>0</v>
      </c>
      <c r="N99" s="275">
        <f>SUM(K99:M99)</f>
        <v>0</v>
      </c>
      <c r="O99" s="274">
        <f>IF(COUNT(H99:J99)&lt;N$1,0,1)</f>
        <v>0</v>
      </c>
      <c r="P99" s="276">
        <f t="shared" si="16"/>
        <v>0</v>
      </c>
      <c r="Q99" s="277" t="str">
        <f t="shared" si="17"/>
        <v/>
      </c>
      <c r="Z99" s="283">
        <f t="shared" si="18"/>
        <v>0</v>
      </c>
      <c r="AA99" s="283">
        <f t="shared" si="19"/>
        <v>0</v>
      </c>
      <c r="AB99" s="283">
        <f t="shared" si="20"/>
        <v>0</v>
      </c>
      <c r="AC99" s="283">
        <f t="shared" si="21"/>
        <v>0</v>
      </c>
      <c r="AD99" s="283">
        <f t="shared" si="22"/>
        <v>0</v>
      </c>
      <c r="AE99" s="284"/>
      <c r="AF99" s="285" t="str">
        <f>IF(AND(LEN(H99)&gt;0,$O99=1),H99*VLOOKUP($AA99,$S:$X,6,FALSE),"")</f>
        <v/>
      </c>
      <c r="AG99" s="285" t="str">
        <f>IF(AND(LEN(I99)&gt;0,$O99=1),I99*VLOOKUP($AA99,$S:$X,6,FALSE),"")</f>
        <v/>
      </c>
      <c r="AH99" s="285" t="str">
        <f>IF(AND(LEN(J99)&gt;0,$O99=1),J99*VLOOKUP($AA99,$S:$X,6,FALSE),"")</f>
        <v/>
      </c>
      <c r="AI99" s="285">
        <f t="shared" si="23"/>
        <v>0</v>
      </c>
    </row>
    <row r="100" spans="1:35" x14ac:dyDescent="0.25">
      <c r="A100" s="232"/>
      <c r="B100" s="232"/>
      <c r="C100" s="232"/>
      <c r="D100" s="232"/>
      <c r="E100" s="232"/>
      <c r="F100" s="232"/>
      <c r="G100" s="272"/>
      <c r="H100" s="273"/>
      <c r="I100" s="273"/>
      <c r="J100" s="273"/>
      <c r="K100" s="274">
        <f>IF(AND(H100&gt;=H$3, H100&lt;=H$4),1,0)</f>
        <v>0</v>
      </c>
      <c r="L100" s="274">
        <f>IF(AND(I100&gt;=I$3, I100&lt;=I$4),1,0)</f>
        <v>0</v>
      </c>
      <c r="M100" s="274">
        <f>IF(AND(J100&gt;=J$3, J100&lt;=J$4),1,0)</f>
        <v>0</v>
      </c>
      <c r="N100" s="275">
        <f>SUM(K100:M100)</f>
        <v>0</v>
      </c>
      <c r="O100" s="274">
        <f>IF(COUNT(H100:J100)&lt;N$1,0,1)</f>
        <v>0</v>
      </c>
      <c r="P100" s="276">
        <f t="shared" si="16"/>
        <v>0</v>
      </c>
      <c r="Q100" s="277" t="str">
        <f t="shared" si="17"/>
        <v/>
      </c>
      <c r="Z100" s="283">
        <f t="shared" si="18"/>
        <v>0</v>
      </c>
      <c r="AA100" s="283">
        <f t="shared" si="19"/>
        <v>0</v>
      </c>
      <c r="AB100" s="283">
        <f t="shared" si="20"/>
        <v>0</v>
      </c>
      <c r="AC100" s="283">
        <f t="shared" si="21"/>
        <v>0</v>
      </c>
      <c r="AD100" s="283">
        <f t="shared" si="22"/>
        <v>0</v>
      </c>
      <c r="AE100" s="284"/>
      <c r="AF100" s="285" t="str">
        <f>IF(AND(LEN(H100)&gt;0,$O100=1),H100*VLOOKUP($AA100,$S:$X,6,FALSE),"")</f>
        <v/>
      </c>
      <c r="AG100" s="285" t="str">
        <f>IF(AND(LEN(I100)&gt;0,$O100=1),I100*VLOOKUP($AA100,$S:$X,6,FALSE),"")</f>
        <v/>
      </c>
      <c r="AH100" s="285" t="str">
        <f>IF(AND(LEN(J100)&gt;0,$O100=1),J100*VLOOKUP($AA100,$S:$X,6,FALSE),"")</f>
        <v/>
      </c>
      <c r="AI100" s="285">
        <f t="shared" si="23"/>
        <v>0</v>
      </c>
    </row>
    <row r="101" spans="1:35" x14ac:dyDescent="0.25">
      <c r="A101" s="232"/>
      <c r="B101" s="232"/>
      <c r="C101" s="232"/>
      <c r="D101" s="232"/>
      <c r="E101" s="232"/>
      <c r="F101" s="232"/>
      <c r="G101" s="272"/>
      <c r="H101" s="273"/>
      <c r="I101" s="273"/>
      <c r="J101" s="273"/>
      <c r="K101" s="274">
        <f>IF(AND(H101&gt;=H$3, H101&lt;=H$4),1,0)</f>
        <v>0</v>
      </c>
      <c r="L101" s="274">
        <f>IF(AND(I101&gt;=I$3, I101&lt;=I$4),1,0)</f>
        <v>0</v>
      </c>
      <c r="M101" s="274">
        <f>IF(AND(J101&gt;=J$3, J101&lt;=J$4),1,0)</f>
        <v>0</v>
      </c>
      <c r="N101" s="275">
        <f>SUM(K101:M101)</f>
        <v>0</v>
      </c>
      <c r="O101" s="274">
        <f>IF(COUNT(H101:J101)&lt;N$1,0,1)</f>
        <v>0</v>
      </c>
      <c r="P101" s="276">
        <f t="shared" si="16"/>
        <v>0</v>
      </c>
      <c r="Q101" s="277" t="str">
        <f t="shared" si="17"/>
        <v/>
      </c>
      <c r="Z101" s="283">
        <f t="shared" si="18"/>
        <v>0</v>
      </c>
      <c r="AA101" s="283">
        <f t="shared" si="19"/>
        <v>0</v>
      </c>
      <c r="AB101" s="283">
        <f t="shared" si="20"/>
        <v>0</v>
      </c>
      <c r="AC101" s="283">
        <f t="shared" si="21"/>
        <v>0</v>
      </c>
      <c r="AD101" s="283">
        <f t="shared" si="22"/>
        <v>0</v>
      </c>
      <c r="AE101" s="284"/>
      <c r="AF101" s="285" t="str">
        <f>IF(AND(LEN(H101)&gt;0,$O101=1),H101*VLOOKUP($AA101,$S:$X,6,FALSE),"")</f>
        <v/>
      </c>
      <c r="AG101" s="285" t="str">
        <f>IF(AND(LEN(I101)&gt;0,$O101=1),I101*VLOOKUP($AA101,$S:$X,6,FALSE),"")</f>
        <v/>
      </c>
      <c r="AH101" s="285" t="str">
        <f>IF(AND(LEN(J101)&gt;0,$O101=1),J101*VLOOKUP($AA101,$S:$X,6,FALSE),"")</f>
        <v/>
      </c>
      <c r="AI101" s="285">
        <f t="shared" si="23"/>
        <v>0</v>
      </c>
    </row>
    <row r="102" spans="1:35" x14ac:dyDescent="0.25">
      <c r="A102" s="232"/>
      <c r="B102" s="232"/>
      <c r="C102" s="232"/>
      <c r="D102" s="232"/>
      <c r="E102" s="232"/>
      <c r="F102" s="232"/>
      <c r="G102" s="272"/>
      <c r="H102" s="273"/>
      <c r="I102" s="273"/>
      <c r="J102" s="273"/>
      <c r="K102" s="274">
        <f>IF(AND(H102&gt;=H$3, H102&lt;=H$4),1,0)</f>
        <v>0</v>
      </c>
      <c r="L102" s="274">
        <f>IF(AND(I102&gt;=I$3, I102&lt;=I$4),1,0)</f>
        <v>0</v>
      </c>
      <c r="M102" s="274">
        <f>IF(AND(J102&gt;=J$3, J102&lt;=J$4),1,0)</f>
        <v>0</v>
      </c>
      <c r="N102" s="275">
        <f>SUM(K102:M102)</f>
        <v>0</v>
      </c>
      <c r="O102" s="274">
        <f>IF(COUNT(H102:J102)&lt;N$1,0,1)</f>
        <v>0</v>
      </c>
      <c r="P102" s="276">
        <f t="shared" si="16"/>
        <v>0</v>
      </c>
      <c r="Q102" s="277" t="str">
        <f t="shared" si="17"/>
        <v/>
      </c>
      <c r="Z102" s="283">
        <f t="shared" si="18"/>
        <v>0</v>
      </c>
      <c r="AA102" s="283">
        <f t="shared" si="19"/>
        <v>0</v>
      </c>
      <c r="AB102" s="283">
        <f t="shared" si="20"/>
        <v>0</v>
      </c>
      <c r="AC102" s="283">
        <f t="shared" si="21"/>
        <v>0</v>
      </c>
      <c r="AD102" s="283">
        <f t="shared" si="22"/>
        <v>0</v>
      </c>
      <c r="AE102" s="284"/>
      <c r="AF102" s="285" t="str">
        <f>IF(AND(LEN(H102)&gt;0,$O102=1),H102*VLOOKUP($AA102,$S:$X,6,FALSE),"")</f>
        <v/>
      </c>
      <c r="AG102" s="285" t="str">
        <f>IF(AND(LEN(I102)&gt;0,$O102=1),I102*VLOOKUP($AA102,$S:$X,6,FALSE),"")</f>
        <v/>
      </c>
      <c r="AH102" s="285" t="str">
        <f>IF(AND(LEN(J102)&gt;0,$O102=1),J102*VLOOKUP($AA102,$S:$X,6,FALSE),"")</f>
        <v/>
      </c>
      <c r="AI102" s="285">
        <f t="shared" si="23"/>
        <v>0</v>
      </c>
    </row>
    <row r="103" spans="1:35" x14ac:dyDescent="0.25">
      <c r="A103" s="232"/>
      <c r="B103" s="232"/>
      <c r="C103" s="232"/>
      <c r="D103" s="232"/>
      <c r="E103" s="232"/>
      <c r="F103" s="232"/>
      <c r="G103" s="272"/>
      <c r="H103" s="273"/>
      <c r="I103" s="273"/>
      <c r="J103" s="273"/>
      <c r="K103" s="274">
        <f>IF(AND(H103&gt;=H$3, H103&lt;=H$4),1,0)</f>
        <v>0</v>
      </c>
      <c r="L103" s="274">
        <f>IF(AND(I103&gt;=I$3, I103&lt;=I$4),1,0)</f>
        <v>0</v>
      </c>
      <c r="M103" s="274">
        <f>IF(AND(J103&gt;=J$3, J103&lt;=J$4),1,0)</f>
        <v>0</v>
      </c>
      <c r="N103" s="275">
        <f>SUM(K103:M103)</f>
        <v>0</v>
      </c>
      <c r="O103" s="274">
        <f>IF(COUNT(H103:J103)&lt;N$1,0,1)</f>
        <v>0</v>
      </c>
      <c r="P103" s="276">
        <f t="shared" si="16"/>
        <v>0</v>
      </c>
      <c r="Q103" s="277" t="str">
        <f t="shared" si="17"/>
        <v/>
      </c>
      <c r="Z103" s="283">
        <f t="shared" si="18"/>
        <v>0</v>
      </c>
      <c r="AA103" s="283">
        <f t="shared" si="19"/>
        <v>0</v>
      </c>
      <c r="AB103" s="283">
        <f t="shared" si="20"/>
        <v>0</v>
      </c>
      <c r="AC103" s="283">
        <f t="shared" si="21"/>
        <v>0</v>
      </c>
      <c r="AD103" s="283">
        <f t="shared" si="22"/>
        <v>0</v>
      </c>
      <c r="AE103" s="284"/>
      <c r="AF103" s="285" t="str">
        <f>IF(AND(LEN(H103)&gt;0,$O103=1),H103*VLOOKUP($AA103,$S:$X,6,FALSE),"")</f>
        <v/>
      </c>
      <c r="AG103" s="285" t="str">
        <f>IF(AND(LEN(I103)&gt;0,$O103=1),I103*VLOOKUP($AA103,$S:$X,6,FALSE),"")</f>
        <v/>
      </c>
      <c r="AH103" s="285" t="str">
        <f>IF(AND(LEN(J103)&gt;0,$O103=1),J103*VLOOKUP($AA103,$S:$X,6,FALSE),"")</f>
        <v/>
      </c>
      <c r="AI103" s="285">
        <f t="shared" si="23"/>
        <v>0</v>
      </c>
    </row>
    <row r="104" spans="1:35" x14ac:dyDescent="0.25">
      <c r="A104" s="232"/>
      <c r="B104" s="232"/>
      <c r="C104" s="232"/>
      <c r="D104" s="232"/>
      <c r="E104" s="232"/>
      <c r="F104" s="232"/>
      <c r="G104" s="272"/>
      <c r="H104" s="273"/>
      <c r="I104" s="273"/>
      <c r="J104" s="273"/>
      <c r="K104" s="274">
        <f>IF(AND(H104&gt;=H$3, H104&lt;=H$4),1,0)</f>
        <v>0</v>
      </c>
      <c r="L104" s="274">
        <f>IF(AND(I104&gt;=I$3, I104&lt;=I$4),1,0)</f>
        <v>0</v>
      </c>
      <c r="M104" s="274">
        <f>IF(AND(J104&gt;=J$3, J104&lt;=J$4),1,0)</f>
        <v>0</v>
      </c>
      <c r="N104" s="275">
        <f>SUM(K104:M104)</f>
        <v>0</v>
      </c>
      <c r="O104" s="274">
        <f>IF(COUNT(H104:J104)&lt;N$1,0,1)</f>
        <v>0</v>
      </c>
      <c r="P104" s="276">
        <f t="shared" si="16"/>
        <v>0</v>
      </c>
      <c r="Q104" s="277" t="str">
        <f t="shared" si="17"/>
        <v/>
      </c>
      <c r="Z104" s="283">
        <f t="shared" si="18"/>
        <v>0</v>
      </c>
      <c r="AA104" s="283">
        <f t="shared" si="19"/>
        <v>0</v>
      </c>
      <c r="AB104" s="283">
        <f t="shared" si="20"/>
        <v>0</v>
      </c>
      <c r="AC104" s="283">
        <f t="shared" si="21"/>
        <v>0</v>
      </c>
      <c r="AD104" s="283">
        <f t="shared" si="22"/>
        <v>0</v>
      </c>
      <c r="AE104" s="284"/>
      <c r="AF104" s="285" t="str">
        <f>IF(AND(LEN(H104)&gt;0,$O104=1),H104*VLOOKUP($AA104,$S:$X,6,FALSE),"")</f>
        <v/>
      </c>
      <c r="AG104" s="285" t="str">
        <f>IF(AND(LEN(I104)&gt;0,$O104=1),I104*VLOOKUP($AA104,$S:$X,6,FALSE),"")</f>
        <v/>
      </c>
      <c r="AH104" s="285" t="str">
        <f>IF(AND(LEN(J104)&gt;0,$O104=1),J104*VLOOKUP($AA104,$S:$X,6,FALSE),"")</f>
        <v/>
      </c>
      <c r="AI104" s="285">
        <f t="shared" si="23"/>
        <v>0</v>
      </c>
    </row>
    <row r="105" spans="1:35" x14ac:dyDescent="0.25">
      <c r="Q105"/>
      <c r="Z105"/>
      <c r="AA105"/>
      <c r="AB105"/>
      <c r="AC105"/>
      <c r="AF105"/>
      <c r="AH105"/>
      <c r="AI105"/>
    </row>
    <row r="106" spans="1:35" x14ac:dyDescent="0.25">
      <c r="Q106"/>
      <c r="Z106"/>
      <c r="AA106"/>
      <c r="AB106"/>
      <c r="AC106"/>
      <c r="AF106"/>
      <c r="AH106"/>
      <c r="AI106"/>
    </row>
    <row r="107" spans="1:35" x14ac:dyDescent="0.25">
      <c r="Q107"/>
      <c r="Z107"/>
      <c r="AA107"/>
      <c r="AB107"/>
      <c r="AC107"/>
      <c r="AF107"/>
      <c r="AH107"/>
      <c r="AI107"/>
    </row>
    <row r="108" spans="1:35" x14ac:dyDescent="0.25">
      <c r="Q108"/>
      <c r="Z108"/>
      <c r="AA108"/>
      <c r="AB108"/>
      <c r="AC108"/>
      <c r="AF108"/>
      <c r="AH108"/>
      <c r="AI108"/>
    </row>
    <row r="109" spans="1:35" x14ac:dyDescent="0.25">
      <c r="Q109"/>
      <c r="Z109"/>
      <c r="AA109"/>
      <c r="AB109"/>
      <c r="AC109"/>
      <c r="AF109"/>
      <c r="AH109"/>
      <c r="AI109"/>
    </row>
    <row r="110" spans="1:35" x14ac:dyDescent="0.25">
      <c r="Q110"/>
      <c r="Z110"/>
      <c r="AA110"/>
      <c r="AB110"/>
      <c r="AC110"/>
      <c r="AF110"/>
      <c r="AH110"/>
      <c r="AI110"/>
    </row>
    <row r="111" spans="1:35" x14ac:dyDescent="0.25">
      <c r="Q111"/>
      <c r="Z111"/>
      <c r="AA111"/>
      <c r="AB111"/>
      <c r="AC111"/>
      <c r="AF111"/>
      <c r="AH111"/>
      <c r="AI111"/>
    </row>
    <row r="112" spans="1:35" x14ac:dyDescent="0.25">
      <c r="Q112"/>
      <c r="Z112"/>
      <c r="AA112"/>
      <c r="AB112"/>
      <c r="AC112"/>
      <c r="AF112"/>
      <c r="AH112"/>
      <c r="AI112"/>
    </row>
    <row r="113" spans="17:35" x14ac:dyDescent="0.25">
      <c r="Q113"/>
      <c r="Z113"/>
      <c r="AA113"/>
      <c r="AB113"/>
      <c r="AC113"/>
      <c r="AF113"/>
      <c r="AH113"/>
      <c r="AI113"/>
    </row>
    <row r="114" spans="17:35" x14ac:dyDescent="0.25">
      <c r="Q114"/>
      <c r="Z114"/>
      <c r="AA114"/>
      <c r="AB114"/>
      <c r="AC114"/>
      <c r="AF114"/>
      <c r="AH114"/>
      <c r="AI114"/>
    </row>
    <row r="115" spans="17:35" x14ac:dyDescent="0.25">
      <c r="Q115"/>
      <c r="Z115"/>
      <c r="AA115"/>
      <c r="AB115"/>
      <c r="AC115"/>
      <c r="AF115"/>
      <c r="AH115"/>
      <c r="AI115"/>
    </row>
    <row r="116" spans="17:35" x14ac:dyDescent="0.25">
      <c r="Q116"/>
      <c r="Z116"/>
      <c r="AA116"/>
      <c r="AB116"/>
      <c r="AC116"/>
      <c r="AF116"/>
      <c r="AH116"/>
      <c r="AI116"/>
    </row>
    <row r="117" spans="17:35" x14ac:dyDescent="0.25">
      <c r="Q117"/>
      <c r="Z117"/>
      <c r="AA117"/>
      <c r="AB117"/>
      <c r="AC117"/>
      <c r="AF117"/>
      <c r="AH117"/>
      <c r="AI117"/>
    </row>
    <row r="118" spans="17:35" x14ac:dyDescent="0.25">
      <c r="Q118"/>
      <c r="Z118"/>
      <c r="AA118"/>
      <c r="AB118"/>
      <c r="AC118"/>
      <c r="AF118"/>
      <c r="AH118"/>
      <c r="AI118"/>
    </row>
    <row r="119" spans="17:35" x14ac:dyDescent="0.25">
      <c r="Q119"/>
      <c r="Z119"/>
      <c r="AA119"/>
      <c r="AB119"/>
      <c r="AC119"/>
      <c r="AF119"/>
      <c r="AH119"/>
      <c r="AI119"/>
    </row>
    <row r="120" spans="17:35" x14ac:dyDescent="0.25">
      <c r="Q120"/>
      <c r="Z120"/>
      <c r="AA120"/>
      <c r="AB120"/>
      <c r="AC120"/>
      <c r="AF120"/>
      <c r="AH120"/>
      <c r="AI120"/>
    </row>
    <row r="121" spans="17:35" x14ac:dyDescent="0.25">
      <c r="Q121"/>
      <c r="Z121"/>
      <c r="AA121"/>
      <c r="AB121"/>
      <c r="AC121"/>
      <c r="AF121"/>
      <c r="AH121"/>
      <c r="AI121"/>
    </row>
    <row r="122" spans="17:35" x14ac:dyDescent="0.25">
      <c r="Q122"/>
      <c r="Z122"/>
      <c r="AA122"/>
      <c r="AB122"/>
      <c r="AC122"/>
      <c r="AF122"/>
      <c r="AH122"/>
      <c r="AI122"/>
    </row>
    <row r="123" spans="17:35" x14ac:dyDescent="0.25">
      <c r="Q123"/>
      <c r="Z123"/>
      <c r="AA123"/>
      <c r="AB123"/>
      <c r="AC123"/>
      <c r="AF123"/>
      <c r="AH123"/>
      <c r="AI123"/>
    </row>
    <row r="124" spans="17:35" x14ac:dyDescent="0.25">
      <c r="Q124"/>
      <c r="Z124"/>
      <c r="AA124"/>
      <c r="AB124"/>
      <c r="AC124"/>
      <c r="AF124"/>
      <c r="AH124"/>
      <c r="AI124"/>
    </row>
    <row r="125" spans="17:35" x14ac:dyDescent="0.25">
      <c r="Q125"/>
      <c r="Z125"/>
      <c r="AA125"/>
      <c r="AB125"/>
      <c r="AC125"/>
      <c r="AF125"/>
      <c r="AH125"/>
      <c r="AI125"/>
    </row>
    <row r="126" spans="17:35" x14ac:dyDescent="0.25">
      <c r="Q126"/>
      <c r="Z126"/>
      <c r="AA126"/>
      <c r="AB126"/>
      <c r="AC126"/>
      <c r="AF126"/>
      <c r="AH126"/>
      <c r="AI126"/>
    </row>
    <row r="127" spans="17:35" x14ac:dyDescent="0.25">
      <c r="Q127"/>
      <c r="Z127"/>
      <c r="AA127"/>
      <c r="AB127"/>
      <c r="AC127"/>
      <c r="AF127"/>
      <c r="AH127"/>
      <c r="AI127"/>
    </row>
    <row r="128" spans="17:35" x14ac:dyDescent="0.25">
      <c r="Q128"/>
      <c r="Z128"/>
      <c r="AA128"/>
      <c r="AB128"/>
      <c r="AC128"/>
      <c r="AF128"/>
      <c r="AH128"/>
      <c r="AI128"/>
    </row>
    <row r="129" spans="17:35" x14ac:dyDescent="0.25">
      <c r="Q129"/>
      <c r="Z129"/>
      <c r="AA129"/>
      <c r="AB129"/>
      <c r="AC129"/>
      <c r="AF129"/>
      <c r="AH129"/>
      <c r="AI129"/>
    </row>
    <row r="130" spans="17:35" x14ac:dyDescent="0.25">
      <c r="Q130"/>
      <c r="Z130"/>
      <c r="AA130"/>
      <c r="AB130"/>
      <c r="AC130"/>
      <c r="AF130"/>
      <c r="AH130"/>
      <c r="AI130"/>
    </row>
    <row r="131" spans="17:35" x14ac:dyDescent="0.25">
      <c r="Q131"/>
      <c r="Z131"/>
      <c r="AA131"/>
      <c r="AB131"/>
      <c r="AC131"/>
      <c r="AF131"/>
      <c r="AH131"/>
      <c r="AI131"/>
    </row>
    <row r="132" spans="17:35" x14ac:dyDescent="0.25">
      <c r="Q132"/>
      <c r="Z132"/>
      <c r="AA132"/>
      <c r="AB132"/>
      <c r="AC132"/>
      <c r="AF132"/>
      <c r="AH132"/>
      <c r="AI132"/>
    </row>
    <row r="133" spans="17:35" x14ac:dyDescent="0.25">
      <c r="Q133"/>
      <c r="Z133"/>
      <c r="AA133"/>
      <c r="AB133"/>
      <c r="AC133"/>
      <c r="AF133"/>
      <c r="AH133"/>
      <c r="AI133"/>
    </row>
    <row r="134" spans="17:35" x14ac:dyDescent="0.25">
      <c r="Q134"/>
      <c r="Z134"/>
      <c r="AA134"/>
      <c r="AB134"/>
      <c r="AC134"/>
      <c r="AF134"/>
      <c r="AH134"/>
      <c r="AI134"/>
    </row>
    <row r="135" spans="17:35" x14ac:dyDescent="0.25">
      <c r="Q135"/>
      <c r="Z135"/>
      <c r="AA135"/>
      <c r="AB135"/>
      <c r="AC135"/>
      <c r="AF135"/>
      <c r="AH135"/>
      <c r="AI135"/>
    </row>
    <row r="136" spans="17:35" x14ac:dyDescent="0.25">
      <c r="Q136"/>
      <c r="Z136"/>
      <c r="AA136"/>
      <c r="AB136"/>
      <c r="AC136"/>
      <c r="AF136"/>
      <c r="AH136"/>
      <c r="AI136"/>
    </row>
    <row r="137" spans="17:35" x14ac:dyDescent="0.25">
      <c r="Q137"/>
      <c r="Z137"/>
      <c r="AA137"/>
      <c r="AB137"/>
      <c r="AC137"/>
      <c r="AF137"/>
      <c r="AH137"/>
      <c r="AI137"/>
    </row>
    <row r="138" spans="17:35" x14ac:dyDescent="0.25">
      <c r="Q138"/>
      <c r="Z138"/>
      <c r="AA138"/>
      <c r="AB138"/>
      <c r="AC138"/>
      <c r="AF138"/>
      <c r="AH138"/>
      <c r="AI138"/>
    </row>
    <row r="139" spans="17:35" x14ac:dyDescent="0.25">
      <c r="Q139"/>
      <c r="Z139"/>
      <c r="AA139"/>
      <c r="AB139"/>
      <c r="AC139"/>
      <c r="AF139"/>
      <c r="AH139"/>
      <c r="AI139"/>
    </row>
    <row r="140" spans="17:35" x14ac:dyDescent="0.25">
      <c r="Q140"/>
      <c r="Z140"/>
      <c r="AA140"/>
      <c r="AB140"/>
      <c r="AC140"/>
      <c r="AF140"/>
      <c r="AH140"/>
      <c r="AI140"/>
    </row>
    <row r="141" spans="17:35" x14ac:dyDescent="0.25">
      <c r="Q141"/>
      <c r="Z141"/>
      <c r="AA141"/>
      <c r="AB141"/>
      <c r="AC141"/>
      <c r="AF141"/>
      <c r="AH141"/>
      <c r="AI141"/>
    </row>
    <row r="142" spans="17:35" x14ac:dyDescent="0.25">
      <c r="Q142"/>
      <c r="Z142"/>
      <c r="AA142"/>
      <c r="AB142"/>
      <c r="AC142"/>
      <c r="AF142"/>
      <c r="AH142"/>
      <c r="AI142"/>
    </row>
  </sheetData>
  <sortState xmlns:xlrd2="http://schemas.microsoft.com/office/spreadsheetml/2017/richdata2" ref="AJ5:AP29">
    <sortCondition descending="1" ref="AP5:AP29"/>
  </sortState>
  <mergeCells count="27">
    <mergeCell ref="AB2:AB4"/>
    <mergeCell ref="AC2:AC4"/>
    <mergeCell ref="AD2:AD4"/>
    <mergeCell ref="AP2:AP4"/>
    <mergeCell ref="AQ2:AQ4"/>
    <mergeCell ref="A1:F1"/>
    <mergeCell ref="R1:T1"/>
    <mergeCell ref="Y1:AF1"/>
    <mergeCell ref="AJ1:AO1"/>
    <mergeCell ref="T2:T4"/>
    <mergeCell ref="U2:U4"/>
    <mergeCell ref="V2:V4"/>
    <mergeCell ref="X2:X4"/>
    <mergeCell ref="Z2:Z4"/>
    <mergeCell ref="AA2:AA4"/>
    <mergeCell ref="L2:L4"/>
    <mergeCell ref="M2:M4"/>
    <mergeCell ref="O2:O4"/>
    <mergeCell ref="P2:P4"/>
    <mergeCell ref="Q2:Q4"/>
    <mergeCell ref="S2:S4"/>
    <mergeCell ref="A2:A4"/>
    <mergeCell ref="B2:B4"/>
    <mergeCell ref="C2:C4"/>
    <mergeCell ref="D2:D4"/>
    <mergeCell ref="E2:E4"/>
    <mergeCell ref="K2: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4ECCE-490A-436D-8C76-A326C83D4745}">
  <sheetPr codeName="Sheet36">
    <tabColor theme="9" tint="0.79998168889431442"/>
  </sheetPr>
  <dimension ref="A1:Y28"/>
  <sheetViews>
    <sheetView zoomScale="130" zoomScaleNormal="130" workbookViewId="0">
      <pane ySplit="3" topLeftCell="A4" activePane="bottomLeft" state="frozen"/>
      <selection activeCell="B10" sqref="B10"/>
      <selection pane="bottomLeft"/>
    </sheetView>
  </sheetViews>
  <sheetFormatPr defaultRowHeight="15" x14ac:dyDescent="0.25"/>
  <cols>
    <col min="1" max="2" width="3.7109375" bestFit="1" customWidth="1"/>
    <col min="3" max="5" width="4.85546875" style="199" bestFit="1" customWidth="1"/>
    <col min="6" max="6" width="4.85546875" style="478" bestFit="1" customWidth="1"/>
    <col min="7" max="7" width="5.42578125" bestFit="1" customWidth="1"/>
    <col min="8" max="10" width="4.85546875" style="199" bestFit="1" customWidth="1"/>
    <col min="11" max="13" width="3.7109375" style="199" bestFit="1" customWidth="1"/>
    <col min="14" max="14" width="4.85546875" style="199" bestFit="1" customWidth="1"/>
    <col min="15" max="15" width="4.85546875" style="478" bestFit="1" customWidth="1"/>
    <col min="16" max="17" width="4.85546875" style="199" bestFit="1" customWidth="1"/>
    <col min="18" max="18" width="5.42578125" bestFit="1" customWidth="1"/>
    <col min="19" max="21" width="4.85546875" style="199" bestFit="1" customWidth="1"/>
    <col min="22" max="24" width="3.7109375" style="199" bestFit="1" customWidth="1"/>
    <col min="25" max="25" width="3.7109375" bestFit="1" customWidth="1"/>
    <col min="26" max="27" width="9.140625" customWidth="1"/>
    <col min="33" max="41" width="9.140625" customWidth="1"/>
  </cols>
  <sheetData>
    <row r="1" spans="1:25" x14ac:dyDescent="0.25">
      <c r="A1" s="230" t="s">
        <v>370</v>
      </c>
      <c r="B1" s="290"/>
      <c r="C1" s="475" t="s">
        <v>292</v>
      </c>
      <c r="D1" s="475"/>
      <c r="E1" s="475"/>
      <c r="F1" s="475"/>
      <c r="G1" s="291"/>
      <c r="H1" s="479"/>
      <c r="I1" s="479"/>
      <c r="J1" s="479"/>
      <c r="K1" s="479"/>
      <c r="L1" s="479"/>
      <c r="M1" s="480"/>
      <c r="N1" s="481" t="s">
        <v>293</v>
      </c>
      <c r="O1" s="481"/>
      <c r="P1" s="481"/>
      <c r="Q1" s="481"/>
      <c r="R1" s="292"/>
      <c r="S1" s="484"/>
      <c r="T1" s="484"/>
      <c r="U1" s="484"/>
      <c r="V1" s="484"/>
      <c r="W1" s="484"/>
      <c r="X1" s="485"/>
      <c r="Y1" s="230"/>
    </row>
    <row r="2" spans="1:25" x14ac:dyDescent="0.25">
      <c r="A2" s="257"/>
      <c r="B2" s="293"/>
      <c r="C2" s="486">
        <v>1</v>
      </c>
      <c r="D2" s="486">
        <v>2</v>
      </c>
      <c r="E2" s="486">
        <v>3</v>
      </c>
      <c r="F2" s="486">
        <v>4</v>
      </c>
      <c r="G2" s="294">
        <f>IF(COUNT(G4:G28)&gt;0,AVERAGE(G4:G28),"")</f>
        <v>3.76</v>
      </c>
      <c r="H2" s="476">
        <f>IF(COUNT(H4:H28)&gt;0,AVERAGE(H4:H28),"")</f>
        <v>9.1209876950581865</v>
      </c>
      <c r="I2" s="476">
        <f>IF(COUNT(I4:I28)&gt;0,AVERAGE(I4:I28),"")</f>
        <v>7.2462776756286624</v>
      </c>
      <c r="J2" s="476">
        <f>IF(COUNT(J4:J28)&gt;0,AVERAGE(J4:J28),"")</f>
        <v>10.955575933456421</v>
      </c>
      <c r="K2" s="476">
        <f>IF(COUNT(K4:K28)&gt;0,AVERAGE(K4:K28),"")</f>
        <v>3.7092982578277587</v>
      </c>
      <c r="L2" s="476">
        <f>IF(COUNT(L4:L28)&gt;0,AVERAGE(L4:L28),"")</f>
        <v>2.39154004256882</v>
      </c>
      <c r="M2" s="476">
        <f>IF(COUNT(M4:M28)&gt;0,AVERAGE(M4:M28),"")</f>
        <v>1.423454139778956</v>
      </c>
      <c r="N2" s="487">
        <v>1</v>
      </c>
      <c r="O2" s="487">
        <v>2</v>
      </c>
      <c r="P2" s="487">
        <v>3</v>
      </c>
      <c r="Q2" s="487">
        <v>4</v>
      </c>
      <c r="R2" s="295">
        <f>IF(COUNT(R4:R28)&gt;0,AVERAGE(R4:R28),"")</f>
        <v>3.76</v>
      </c>
      <c r="S2" s="482">
        <f>IF(COUNT(S4:S28)&gt;0,AVERAGE(S4:S28),"")</f>
        <v>10.791717099901593</v>
      </c>
      <c r="T2" s="482">
        <f>IF(COUNT(T4:T28)&gt;0,AVERAGE(T4:T28),"")</f>
        <v>8.7492727095202376</v>
      </c>
      <c r="U2" s="482">
        <f>IF(COUNT(U4:U28)&gt;0,AVERAGE(U4:U28),"")</f>
        <v>12.800514008080627</v>
      </c>
      <c r="V2" s="482">
        <f>IF(COUNT(V4:V28)&gt;0,AVERAGE(V4:V28),"")</f>
        <v>4.0512412985603881</v>
      </c>
      <c r="W2" s="482">
        <f>IF(COUNT(W4:W28)&gt;0,AVERAGE(W4:W28),"")</f>
        <v>2.9877156681791037</v>
      </c>
      <c r="X2" s="482">
        <f>IF(COUNT(X4:X28)&gt;0,AVERAGE(X4:X28),"")</f>
        <v>1.5596734278366149</v>
      </c>
      <c r="Y2" s="257"/>
    </row>
    <row r="3" spans="1:25" s="60" customFormat="1" ht="78.75" x14ac:dyDescent="0.25">
      <c r="A3" s="244" t="s">
        <v>294</v>
      </c>
      <c r="B3" s="296" t="s">
        <v>69</v>
      </c>
      <c r="C3" s="477" t="s">
        <v>295</v>
      </c>
      <c r="D3" s="477" t="s">
        <v>295</v>
      </c>
      <c r="E3" s="477" t="s">
        <v>295</v>
      </c>
      <c r="F3" s="477" t="s">
        <v>295</v>
      </c>
      <c r="G3" s="297" t="s">
        <v>296</v>
      </c>
      <c r="H3" s="477" t="s">
        <v>297</v>
      </c>
      <c r="I3" s="477" t="s">
        <v>298</v>
      </c>
      <c r="J3" s="477" t="s">
        <v>299</v>
      </c>
      <c r="K3" s="477" t="s">
        <v>300</v>
      </c>
      <c r="L3" s="477" t="s">
        <v>301</v>
      </c>
      <c r="M3" s="477" t="s">
        <v>302</v>
      </c>
      <c r="N3" s="483" t="s">
        <v>303</v>
      </c>
      <c r="O3" s="483" t="s">
        <v>303</v>
      </c>
      <c r="P3" s="483" t="s">
        <v>303</v>
      </c>
      <c r="Q3" s="483" t="s">
        <v>303</v>
      </c>
      <c r="R3" s="298" t="s">
        <v>296</v>
      </c>
      <c r="S3" s="483" t="s">
        <v>304</v>
      </c>
      <c r="T3" s="483" t="s">
        <v>305</v>
      </c>
      <c r="U3" s="483" t="s">
        <v>306</v>
      </c>
      <c r="V3" s="483" t="s">
        <v>307</v>
      </c>
      <c r="W3" s="483" t="s">
        <v>308</v>
      </c>
      <c r="X3" s="483" t="s">
        <v>309</v>
      </c>
      <c r="Y3" s="244" t="s">
        <v>294</v>
      </c>
    </row>
    <row r="4" spans="1:25" x14ac:dyDescent="0.25">
      <c r="A4" s="232">
        <v>25</v>
      </c>
      <c r="B4" s="299">
        <v>17</v>
      </c>
      <c r="C4" s="300">
        <v>7.9360496997833252</v>
      </c>
      <c r="D4" s="300">
        <v>7.3621194362640381</v>
      </c>
      <c r="E4" s="300">
        <v>5.2410721778869629</v>
      </c>
      <c r="F4" s="300">
        <v>8.885040283203125</v>
      </c>
      <c r="G4" s="283">
        <v>4</v>
      </c>
      <c r="H4" s="301">
        <f>IF(G4&gt;0,AVERAGE(C4:F4),"")</f>
        <v>7.3560703992843628</v>
      </c>
      <c r="I4" s="300">
        <f>IF(G4&gt;0,MIN(C4:F4),"")</f>
        <v>5.2410721778869629</v>
      </c>
      <c r="J4" s="300">
        <f>IF(G4&gt;0,MAX(C4:F4),"")</f>
        <v>8.885040283203125</v>
      </c>
      <c r="K4" s="300">
        <f>IF(G4&gt;0,J4-I4,"")</f>
        <v>3.6439681053161621</v>
      </c>
      <c r="L4" s="300">
        <f>IF(G4&gt;0,_xlfn.VAR.P(C4:F4),"")</f>
        <v>1.7868447405750914</v>
      </c>
      <c r="M4" s="300">
        <f>IF(G4&gt;0,_xlfn.STDEV.P(C4:F4),"")</f>
        <v>1.336729120119365</v>
      </c>
      <c r="N4" s="302">
        <v>9.3757818981403513</v>
      </c>
      <c r="O4" s="302">
        <v>8.3960860730633318</v>
      </c>
      <c r="P4" s="302">
        <v>6.6491587993921124</v>
      </c>
      <c r="Q4" s="302">
        <v>10.593611012497615</v>
      </c>
      <c r="R4" s="286">
        <f>G4</f>
        <v>4</v>
      </c>
      <c r="S4" s="303">
        <f>IF(R4&gt;0,AVERAGE(N4:Q4),"")</f>
        <v>8.7536594457733514</v>
      </c>
      <c r="T4" s="302">
        <f>IF(R4&gt;0,MIN(N4:Q4),"")</f>
        <v>6.6491587993921124</v>
      </c>
      <c r="U4" s="302">
        <f>IF(R4&gt;0,MAX(N4:Q4),"")</f>
        <v>10.593611012497615</v>
      </c>
      <c r="V4" s="302">
        <f>IF(R4&gt;0,U4-T4,"")</f>
        <v>3.9444522131055022</v>
      </c>
      <c r="W4" s="302">
        <f>IF(R4&gt;0,_xlfn.VAR.P(N4:Q4),"")</f>
        <v>2.0823099502801341</v>
      </c>
      <c r="X4" s="302">
        <f>IF(R4&gt;0,_xlfn.STDEV.P(N4:Q4),"")</f>
        <v>1.4430211191386404</v>
      </c>
      <c r="Y4" s="232">
        <v>25</v>
      </c>
    </row>
    <row r="5" spans="1:25" x14ac:dyDescent="0.25">
      <c r="A5" s="232">
        <v>24</v>
      </c>
      <c r="B5" s="299">
        <v>9</v>
      </c>
      <c r="C5" s="300">
        <v>8.8793275356292725</v>
      </c>
      <c r="D5" s="300">
        <v>8.1845204830169678</v>
      </c>
      <c r="E5" s="300">
        <v>6.1544499397277832</v>
      </c>
      <c r="F5" s="300"/>
      <c r="G5" s="283">
        <v>3</v>
      </c>
      <c r="H5" s="301">
        <f>IF(G5&gt;0,AVERAGE(C5:F5),"")</f>
        <v>7.7394326527913408</v>
      </c>
      <c r="I5" s="300">
        <f>IF(G5&gt;0,MIN(C5:F5),"")</f>
        <v>6.1544499397277832</v>
      </c>
      <c r="J5" s="300">
        <f>IF(G5&gt;0,MAX(C5:F5),"")</f>
        <v>8.8793275356292725</v>
      </c>
      <c r="K5" s="300">
        <f>IF(G5&gt;0,J5-I5,"")</f>
        <v>2.7248775959014893</v>
      </c>
      <c r="L5" s="300">
        <f>IF(G5&gt;0,_xlfn.VAR.P(C5:F5),"")</f>
        <v>1.336544573748458</v>
      </c>
      <c r="M5" s="300">
        <f>IF(G5&gt;0,_xlfn.STDEV.P(C5:F5),"")</f>
        <v>1.1560902100391899</v>
      </c>
      <c r="N5" s="302">
        <v>10.189474959184665</v>
      </c>
      <c r="O5" s="302">
        <v>9.2553892450852775</v>
      </c>
      <c r="P5" s="302">
        <v>7.8212928784544111</v>
      </c>
      <c r="Q5" s="302"/>
      <c r="R5" s="286">
        <f>G5</f>
        <v>3</v>
      </c>
      <c r="S5" s="303">
        <f>IF(R5&gt;0,AVERAGE(N5:Q5),"")</f>
        <v>9.0887190275747844</v>
      </c>
      <c r="T5" s="302">
        <f>IF(R5&gt;0,MIN(N5:Q5),"")</f>
        <v>7.8212928784544111</v>
      </c>
      <c r="U5" s="302">
        <f>IF(R5&gt;0,MAX(N5:Q5),"")</f>
        <v>10.189474959184665</v>
      </c>
      <c r="V5" s="302">
        <f>IF(R5&gt;0,U5-T5,"")</f>
        <v>2.3681820807302536</v>
      </c>
      <c r="W5" s="302">
        <f>IF(R5&gt;0,_xlfn.VAR.P(N5:Q5),"")</f>
        <v>0.94860387528448575</v>
      </c>
      <c r="X5" s="302">
        <f>IF(R5&gt;0,_xlfn.STDEV.P(N5:Q5),"")</f>
        <v>0.97396297428828671</v>
      </c>
      <c r="Y5" s="232">
        <v>24</v>
      </c>
    </row>
    <row r="6" spans="1:25" x14ac:dyDescent="0.25">
      <c r="A6" s="232">
        <v>23</v>
      </c>
      <c r="B6" s="299">
        <v>12</v>
      </c>
      <c r="C6" s="300">
        <v>8.681220531463623</v>
      </c>
      <c r="D6" s="300">
        <v>5.5305395126342773</v>
      </c>
      <c r="E6" s="300">
        <v>7.4421162605285645</v>
      </c>
      <c r="F6" s="300">
        <v>9.6155638694763184</v>
      </c>
      <c r="G6" s="283">
        <v>4</v>
      </c>
      <c r="H6" s="301">
        <f>IF(G6&gt;0,AVERAGE(C6:F6),"")</f>
        <v>7.8173600435256958</v>
      </c>
      <c r="I6" s="300">
        <f>IF(G6&gt;0,MIN(C6:F6),"")</f>
        <v>5.5305395126342773</v>
      </c>
      <c r="J6" s="300">
        <f>IF(G6&gt;0,MAX(C6:F6),"")</f>
        <v>9.6155638694763184</v>
      </c>
      <c r="K6" s="300">
        <f>IF(G6&gt;0,J6-I6,"")</f>
        <v>4.085024356842041</v>
      </c>
      <c r="L6" s="300">
        <f>IF(G6&gt;0,_xlfn.VAR.P(C6:F6),"")</f>
        <v>2.3375369948670794</v>
      </c>
      <c r="M6" s="300">
        <f>IF(G6&gt;0,_xlfn.STDEV.P(C6:F6),"")</f>
        <v>1.5289005837094443</v>
      </c>
      <c r="N6" s="302">
        <v>11.18310216458811</v>
      </c>
      <c r="O6" s="302">
        <v>6.4305826883964814</v>
      </c>
      <c r="P6" s="302">
        <v>8.5402027322131797</v>
      </c>
      <c r="Q6" s="302">
        <v>11.359988039176454</v>
      </c>
      <c r="R6" s="286">
        <f>G6</f>
        <v>4</v>
      </c>
      <c r="S6" s="303">
        <f>IF(R6&gt;0,AVERAGE(N6:Q6),"")</f>
        <v>9.3784689060935555</v>
      </c>
      <c r="T6" s="302">
        <f>IF(R6&gt;0,MIN(N6:Q6),"")</f>
        <v>6.4305826883964814</v>
      </c>
      <c r="U6" s="302">
        <f>IF(R6&gt;0,MAX(N6:Q6),"")</f>
        <v>11.359988039176454</v>
      </c>
      <c r="V6" s="302">
        <f>IF(R6&gt;0,U6-T6,"")</f>
        <v>4.9294053507799722</v>
      </c>
      <c r="W6" s="302">
        <f>IF(R6&gt;0,_xlfn.VAR.P(N6:Q6),"")</f>
        <v>4.14396065079967</v>
      </c>
      <c r="X6" s="302">
        <f>IF(R6&gt;0,_xlfn.STDEV.P(N6:Q6),"")</f>
        <v>2.0356720391064149</v>
      </c>
      <c r="Y6" s="232">
        <v>23</v>
      </c>
    </row>
    <row r="7" spans="1:25" x14ac:dyDescent="0.25">
      <c r="A7" s="232">
        <v>22</v>
      </c>
      <c r="B7" s="299">
        <v>1</v>
      </c>
      <c r="C7" s="300">
        <v>9.0283632278442383</v>
      </c>
      <c r="D7" s="300">
        <v>8.1176507472991943</v>
      </c>
      <c r="E7" s="300">
        <v>8.5774538516998291</v>
      </c>
      <c r="F7" s="300">
        <v>6.7603609561920166</v>
      </c>
      <c r="G7" s="283">
        <v>4</v>
      </c>
      <c r="H7" s="301">
        <f>IF(G7&gt;0,AVERAGE(C7:F7),"")</f>
        <v>8.1209571957588196</v>
      </c>
      <c r="I7" s="300">
        <f>IF(G7&gt;0,MIN(C7:F7),"")</f>
        <v>6.7603609561920166</v>
      </c>
      <c r="J7" s="300">
        <f>IF(G7&gt;0,MAX(C7:F7),"")</f>
        <v>9.0283632278442383</v>
      </c>
      <c r="K7" s="300">
        <f>IF(G7&gt;0,J7-I7,"")</f>
        <v>2.2680022716522217</v>
      </c>
      <c r="L7" s="300">
        <f>IF(G7&gt;0,_xlfn.VAR.P(C7:F7),"")</f>
        <v>0.72075199091877096</v>
      </c>
      <c r="M7" s="300">
        <f>IF(G7&gt;0,_xlfn.STDEV.P(C7:F7),"")</f>
        <v>0.84897113668179025</v>
      </c>
      <c r="N7" s="302">
        <v>10.296344064519397</v>
      </c>
      <c r="O7" s="302">
        <v>9.438721890835339</v>
      </c>
      <c r="P7" s="302">
        <v>9.8430597232455277</v>
      </c>
      <c r="Q7" s="302">
        <v>8.7086610654091601</v>
      </c>
      <c r="R7" s="286">
        <f>G7</f>
        <v>4</v>
      </c>
      <c r="S7" s="303">
        <f>IF(R7&gt;0,AVERAGE(N7:Q7),"")</f>
        <v>9.5716966860023547</v>
      </c>
      <c r="T7" s="302">
        <f>IF(R7&gt;0,MIN(N7:Q7),"")</f>
        <v>8.7086610654091601</v>
      </c>
      <c r="U7" s="302">
        <f>IF(R7&gt;0,MAX(N7:Q7),"")</f>
        <v>10.296344064519397</v>
      </c>
      <c r="V7" s="302">
        <f>IF(R7&gt;0,U7-T7,"")</f>
        <v>1.5876829991102372</v>
      </c>
      <c r="W7" s="302">
        <f>IF(R7&gt;0,_xlfn.VAR.P(N7:Q7),"")</f>
        <v>0.34031612493396302</v>
      </c>
      <c r="X7" s="302">
        <f>IF(R7&gt;0,_xlfn.STDEV.P(N7:Q7),"")</f>
        <v>0.58336620139836948</v>
      </c>
      <c r="Y7" s="232">
        <v>22</v>
      </c>
    </row>
    <row r="8" spans="1:25" x14ac:dyDescent="0.25">
      <c r="A8" s="232">
        <v>21</v>
      </c>
      <c r="B8" s="299">
        <v>11</v>
      </c>
      <c r="C8" s="300">
        <v>7.4404048919677734</v>
      </c>
      <c r="D8" s="300">
        <v>7.9079656600952148</v>
      </c>
      <c r="E8" s="300">
        <v>6.8143737316131592</v>
      </c>
      <c r="F8" s="300">
        <v>10.480083465576172</v>
      </c>
      <c r="G8" s="283">
        <v>4</v>
      </c>
      <c r="H8" s="301">
        <f>IF(G8&gt;0,AVERAGE(C8:F8),"")</f>
        <v>8.1607069373130798</v>
      </c>
      <c r="I8" s="300">
        <f>IF(G8&gt;0,MIN(C8:F8),"")</f>
        <v>6.8143737316131592</v>
      </c>
      <c r="J8" s="300">
        <f>IF(G8&gt;0,MAX(C8:F8),"")</f>
        <v>10.480083465576172</v>
      </c>
      <c r="K8" s="300">
        <f>IF(G8&gt;0,J8-I8,"")</f>
        <v>3.6657097339630127</v>
      </c>
      <c r="L8" s="300">
        <f>IF(G8&gt;0,_xlfn.VAR.P(C8:F8),"")</f>
        <v>1.9437084425915856</v>
      </c>
      <c r="M8" s="300">
        <f>IF(G8&gt;0,_xlfn.STDEV.P(C8:F8),"")</f>
        <v>1.3941694454375284</v>
      </c>
      <c r="N8" s="302">
        <v>8.4853662633737326</v>
      </c>
      <c r="O8" s="302">
        <v>9.4286474155451447</v>
      </c>
      <c r="P8" s="302">
        <v>8.7782400357323294</v>
      </c>
      <c r="Q8" s="302">
        <v>11.928318720013692</v>
      </c>
      <c r="R8" s="286">
        <f>G8</f>
        <v>4</v>
      </c>
      <c r="S8" s="303">
        <f>IF(R8&gt;0,AVERAGE(N8:Q8),"")</f>
        <v>9.6551431086662252</v>
      </c>
      <c r="T8" s="302">
        <f>IF(R8&gt;0,MIN(N8:Q8),"")</f>
        <v>8.4853662633737326</v>
      </c>
      <c r="U8" s="302">
        <f>IF(R8&gt;0,MAX(N8:Q8),"")</f>
        <v>11.928318720013692</v>
      </c>
      <c r="V8" s="302">
        <f>IF(R8&gt;0,U8-T8,"")</f>
        <v>3.4429524566399596</v>
      </c>
      <c r="W8" s="302">
        <f>IF(R8&gt;0,_xlfn.VAR.P(N8:Q8),"")</f>
        <v>1.8389911315326799</v>
      </c>
      <c r="X8" s="302">
        <f>IF(R8&gt;0,_xlfn.STDEV.P(N8:Q8),"")</f>
        <v>1.356094071785833</v>
      </c>
      <c r="Y8" s="232">
        <v>21</v>
      </c>
    </row>
    <row r="9" spans="1:25" x14ac:dyDescent="0.25">
      <c r="A9" s="232">
        <v>20</v>
      </c>
      <c r="B9" s="299">
        <v>23</v>
      </c>
      <c r="C9" s="300">
        <v>8.5693726539611816</v>
      </c>
      <c r="D9" s="300">
        <v>7.6377663612365723</v>
      </c>
      <c r="E9" s="300">
        <v>10.244340181350708</v>
      </c>
      <c r="F9" s="300">
        <v>7.3017721176147461</v>
      </c>
      <c r="G9" s="283">
        <v>4</v>
      </c>
      <c r="H9" s="301">
        <f>IF(G9&gt;0,AVERAGE(C9:F9),"")</f>
        <v>8.438312828540802</v>
      </c>
      <c r="I9" s="300">
        <f>IF(G9&gt;0,MIN(C9:F9),"")</f>
        <v>7.3017721176147461</v>
      </c>
      <c r="J9" s="300">
        <f>IF(G9&gt;0,MAX(C9:F9),"")</f>
        <v>10.244340181350708</v>
      </c>
      <c r="K9" s="300">
        <f>IF(G9&gt;0,J9-I9,"")</f>
        <v>2.9425680637359619</v>
      </c>
      <c r="L9" s="300">
        <f>IF(G9&gt;0,_xlfn.VAR.P(C9:F9),"")</f>
        <v>1.3028777277105945</v>
      </c>
      <c r="M9" s="300">
        <f>IF(G9&gt;0,_xlfn.STDEV.P(C9:F9),"")</f>
        <v>1.1414366945698717</v>
      </c>
      <c r="N9" s="302">
        <v>10.217241298142094</v>
      </c>
      <c r="O9" s="302">
        <v>9.0233849712234413</v>
      </c>
      <c r="P9" s="302">
        <v>11.659998239591879</v>
      </c>
      <c r="Q9" s="302">
        <v>8.327263326292579</v>
      </c>
      <c r="R9" s="286">
        <f>G9</f>
        <v>4</v>
      </c>
      <c r="S9" s="303">
        <f>IF(R9&gt;0,AVERAGE(N9:Q9),"")</f>
        <v>9.8069719588124986</v>
      </c>
      <c r="T9" s="302">
        <f>IF(R9&gt;0,MIN(N9:Q9),"")</f>
        <v>8.327263326292579</v>
      </c>
      <c r="U9" s="302">
        <f>IF(R9&gt;0,MAX(N9:Q9),"")</f>
        <v>11.659998239591879</v>
      </c>
      <c r="V9" s="302">
        <f>IF(R9&gt;0,U9-T9,"")</f>
        <v>3.3327349132992996</v>
      </c>
      <c r="W9" s="302">
        <f>IF(R9&gt;0,_xlfn.VAR.P(N9:Q9),"")</f>
        <v>1.601393383081458</v>
      </c>
      <c r="X9" s="302">
        <f>IF(R9&gt;0,_xlfn.STDEV.P(N9:Q9),"")</f>
        <v>1.2654617272290214</v>
      </c>
      <c r="Y9" s="232">
        <v>20</v>
      </c>
    </row>
    <row r="10" spans="1:25" x14ac:dyDescent="0.25">
      <c r="A10" s="232">
        <v>19</v>
      </c>
      <c r="B10" s="299">
        <v>14</v>
      </c>
      <c r="C10" s="300">
        <v>9.0339255332946777</v>
      </c>
      <c r="D10" s="300">
        <v>12.074520349502563</v>
      </c>
      <c r="E10" s="300">
        <v>5.7699151039123535</v>
      </c>
      <c r="F10" s="300">
        <v>7.6090140342712402</v>
      </c>
      <c r="G10" s="283">
        <v>4</v>
      </c>
      <c r="H10" s="301">
        <f>IF(G10&gt;0,AVERAGE(C10:F10),"")</f>
        <v>8.6218437552452087</v>
      </c>
      <c r="I10" s="300">
        <f>IF(G10&gt;0,MIN(C10:F10),"")</f>
        <v>5.7699151039123535</v>
      </c>
      <c r="J10" s="300">
        <f>IF(G10&gt;0,MAX(C10:F10),"")</f>
        <v>12.074520349502563</v>
      </c>
      <c r="K10" s="300">
        <f>IF(G10&gt;0,J10-I10,"")</f>
        <v>6.30460524559021</v>
      </c>
      <c r="L10" s="300">
        <f>IF(G10&gt;0,_xlfn.VAR.P(C10:F10),"")</f>
        <v>5.3125270330786094</v>
      </c>
      <c r="M10" s="300">
        <f>IF(G10&gt;0,_xlfn.STDEV.P(C10:F10),"")</f>
        <v>2.3048919786138806</v>
      </c>
      <c r="N10" s="302">
        <v>10.771126518865104</v>
      </c>
      <c r="O10" s="302">
        <v>13.654359594339311</v>
      </c>
      <c r="P10" s="302">
        <v>6.5672555541143876</v>
      </c>
      <c r="Q10" s="302">
        <v>8.8473093470847015</v>
      </c>
      <c r="R10" s="286">
        <f>G10</f>
        <v>4</v>
      </c>
      <c r="S10" s="303">
        <f>IF(R10&gt;0,AVERAGE(N10:Q10),"")</f>
        <v>9.9600127536008767</v>
      </c>
      <c r="T10" s="302">
        <f>IF(R10&gt;0,MIN(N10:Q10),"")</f>
        <v>6.5672555541143876</v>
      </c>
      <c r="U10" s="302">
        <f>IF(R10&gt;0,MAX(N10:Q10),"")</f>
        <v>13.654359594339311</v>
      </c>
      <c r="V10" s="302">
        <f>IF(R10&gt;0,U10-T10,"")</f>
        <v>7.0871040402249239</v>
      </c>
      <c r="W10" s="302">
        <f>IF(R10&gt;0,_xlfn.VAR.P(N10:Q10),"")</f>
        <v>6.7637536013538124</v>
      </c>
      <c r="X10" s="302">
        <f>IF(R10&gt;0,_xlfn.STDEV.P(N10:Q10),"")</f>
        <v>2.6007217462377272</v>
      </c>
      <c r="Y10" s="232">
        <v>19</v>
      </c>
    </row>
    <row r="11" spans="1:25" x14ac:dyDescent="0.25">
      <c r="A11" s="232">
        <v>18</v>
      </c>
      <c r="B11" s="299">
        <v>16</v>
      </c>
      <c r="C11" s="300">
        <v>8.8355515003204346</v>
      </c>
      <c r="D11" s="300">
        <v>9.0991716384887695</v>
      </c>
      <c r="E11" s="300">
        <v>8.5006339550018311</v>
      </c>
      <c r="F11" s="300"/>
      <c r="G11" s="283">
        <v>3</v>
      </c>
      <c r="H11" s="301">
        <f>IF(G11&gt;0,AVERAGE(C11:F11),"")</f>
        <v>8.8117856979370117</v>
      </c>
      <c r="I11" s="300">
        <f>IF(G11&gt;0,MIN(C11:F11),"")</f>
        <v>8.5006339550018311</v>
      </c>
      <c r="J11" s="300">
        <f>IF(G11&gt;0,MAX(C11:F11),"")</f>
        <v>9.0991716384887695</v>
      </c>
      <c r="K11" s="300">
        <f>IF(G11&gt;0,J11-I11,"")</f>
        <v>0.59853768348693848</v>
      </c>
      <c r="L11" s="300">
        <f>IF(G11&gt;0,_xlfn.VAR.P(C11:F11),"")</f>
        <v>5.9990299773782375E-2</v>
      </c>
      <c r="M11" s="300">
        <f>IF(G11&gt;0,_xlfn.STDEV.P(C11:F11),"")</f>
        <v>0.24492917297411179</v>
      </c>
      <c r="N11" s="302">
        <v>10.27345422460114</v>
      </c>
      <c r="O11" s="302">
        <v>10.356579673102448</v>
      </c>
      <c r="P11" s="302">
        <v>9.6128632394269466</v>
      </c>
      <c r="Q11" s="302"/>
      <c r="R11" s="286">
        <f>G11</f>
        <v>3</v>
      </c>
      <c r="S11" s="303">
        <f>IF(R11&gt;0,AVERAGE(N11:Q11),"")</f>
        <v>10.080965712376846</v>
      </c>
      <c r="T11" s="302">
        <f>IF(R11&gt;0,MIN(N11:Q11),"")</f>
        <v>9.6128632394269466</v>
      </c>
      <c r="U11" s="302">
        <f>IF(R11&gt;0,MAX(N11:Q11),"")</f>
        <v>10.356579673102448</v>
      </c>
      <c r="V11" s="302">
        <f>IF(R11&gt;0,U11-T11,"")</f>
        <v>0.74371643367550178</v>
      </c>
      <c r="W11" s="302">
        <f>IF(R11&gt;0,_xlfn.VAR.P(N11:Q11),"")</f>
        <v>0.11071160262232917</v>
      </c>
      <c r="X11" s="302">
        <f>IF(R11&gt;0,_xlfn.STDEV.P(N11:Q11),"")</f>
        <v>0.33273353095582231</v>
      </c>
      <c r="Y11" s="232">
        <v>18</v>
      </c>
    </row>
    <row r="12" spans="1:25" x14ac:dyDescent="0.25">
      <c r="A12" s="232">
        <v>17</v>
      </c>
      <c r="B12" s="299">
        <v>22</v>
      </c>
      <c r="C12" s="300">
        <v>9.9234294891357422</v>
      </c>
      <c r="D12" s="300">
        <v>4.5302679538726807</v>
      </c>
      <c r="E12" s="300">
        <v>12.415251016616821</v>
      </c>
      <c r="F12" s="300">
        <v>9.7394900321960449</v>
      </c>
      <c r="G12" s="283">
        <v>4</v>
      </c>
      <c r="H12" s="301">
        <f>IF(G12&gt;0,AVERAGE(C12:F12),"")</f>
        <v>9.1521096229553223</v>
      </c>
      <c r="I12" s="300">
        <f>IF(G12&gt;0,MIN(C12:F12),"")</f>
        <v>4.5302679538726807</v>
      </c>
      <c r="J12" s="300">
        <f>IF(G12&gt;0,MAX(C12:F12),"")</f>
        <v>12.415251016616821</v>
      </c>
      <c r="K12" s="300">
        <f>IF(G12&gt;0,J12-I12,"")</f>
        <v>7.8849830627441406</v>
      </c>
      <c r="L12" s="300">
        <f>IF(G12&gt;0,_xlfn.VAR.P(C12:F12),"")</f>
        <v>8.2373655625550271</v>
      </c>
      <c r="M12" s="300">
        <f>IF(G12&gt;0,_xlfn.STDEV.P(C12:F12),"")</f>
        <v>2.8700811073130019</v>
      </c>
      <c r="N12" s="302">
        <v>11.221818402029726</v>
      </c>
      <c r="O12" s="302">
        <v>5.1987103402995514</v>
      </c>
      <c r="P12" s="302">
        <v>14.158900443905184</v>
      </c>
      <c r="Q12" s="302">
        <v>11.085383208638763</v>
      </c>
      <c r="R12" s="286">
        <f>G12</f>
        <v>4</v>
      </c>
      <c r="S12" s="303">
        <f>IF(R12&gt;0,AVERAGE(N12:Q12),"")</f>
        <v>10.416203098718306</v>
      </c>
      <c r="T12" s="302">
        <f>IF(R12&gt;0,MIN(N12:Q12),"")</f>
        <v>5.1987103402995514</v>
      </c>
      <c r="U12" s="302">
        <f>IF(R12&gt;0,MAX(N12:Q12),"")</f>
        <v>14.158900443905184</v>
      </c>
      <c r="V12" s="302">
        <f>IF(R12&gt;0,U12-T12,"")</f>
        <v>8.9601901036056333</v>
      </c>
      <c r="W12" s="302">
        <f>IF(R12&gt;0,_xlfn.VAR.P(N12:Q12),"")</f>
        <v>10.581708034565935</v>
      </c>
      <c r="X12" s="302">
        <f>IF(R12&gt;0,_xlfn.STDEV.P(N12:Q12),"")</f>
        <v>3.2529537399978401</v>
      </c>
      <c r="Y12" s="232">
        <v>17</v>
      </c>
    </row>
    <row r="13" spans="1:25" x14ac:dyDescent="0.25">
      <c r="A13" s="232">
        <v>16</v>
      </c>
      <c r="B13" s="299">
        <v>20</v>
      </c>
      <c r="C13" s="300">
        <v>8.7786710262298584</v>
      </c>
      <c r="D13" s="300">
        <v>11.409045934677124</v>
      </c>
      <c r="E13" s="300">
        <v>8.4554910659790039</v>
      </c>
      <c r="F13" s="300">
        <v>6.1541736125946045</v>
      </c>
      <c r="G13" s="283">
        <v>4</v>
      </c>
      <c r="H13" s="301">
        <f>IF(G13&gt;0,AVERAGE(C13:F13),"")</f>
        <v>8.6993454098701477</v>
      </c>
      <c r="I13" s="300">
        <f>IF(G13&gt;0,MIN(C13:F13),"")</f>
        <v>6.1541736125946045</v>
      </c>
      <c r="J13" s="300">
        <f>IF(G13&gt;0,MAX(C13:F13),"")</f>
        <v>11.409045934677124</v>
      </c>
      <c r="K13" s="300">
        <f>IF(G13&gt;0,J13-I13,"")</f>
        <v>5.2548723220825195</v>
      </c>
      <c r="L13" s="300">
        <f>IF(G13&gt;0,_xlfn.VAR.P(C13:F13),"")</f>
        <v>3.471533476557866</v>
      </c>
      <c r="M13" s="300">
        <f>IF(G13&gt;0,_xlfn.STDEV.P(C13:F13),"")</f>
        <v>1.8632051622292876</v>
      </c>
      <c r="N13" s="302">
        <v>10.207316989497938</v>
      </c>
      <c r="O13" s="302">
        <v>13.478837758830831</v>
      </c>
      <c r="P13" s="302">
        <v>10.727175836605749</v>
      </c>
      <c r="Q13" s="302">
        <v>7.8209417121503506</v>
      </c>
      <c r="R13" s="286">
        <f>G13</f>
        <v>4</v>
      </c>
      <c r="S13" s="303">
        <f>IF(R13&gt;0,AVERAGE(N13:Q13),"")</f>
        <v>10.558568074271216</v>
      </c>
      <c r="T13" s="302">
        <f>IF(R13&gt;0,MIN(N13:Q13),"")</f>
        <v>7.8209417121503506</v>
      </c>
      <c r="U13" s="302">
        <f>IF(R13&gt;0,MAX(N13:Q13),"")</f>
        <v>13.478837758830831</v>
      </c>
      <c r="V13" s="302">
        <f>IF(R13&gt;0,U13-T13,"")</f>
        <v>5.6578960466804809</v>
      </c>
      <c r="W13" s="302">
        <f>IF(R13&gt;0,_xlfn.VAR.P(N13:Q13),"")</f>
        <v>4.0435947578027509</v>
      </c>
      <c r="X13" s="302">
        <f>IF(R13&gt;0,_xlfn.STDEV.P(N13:Q13),"")</f>
        <v>2.0108691548190674</v>
      </c>
      <c r="Y13" s="232">
        <v>16</v>
      </c>
    </row>
    <row r="14" spans="1:25" x14ac:dyDescent="0.25">
      <c r="A14" s="232">
        <v>15</v>
      </c>
      <c r="B14" s="299">
        <v>18</v>
      </c>
      <c r="C14" s="300">
        <v>10.480010747909546</v>
      </c>
      <c r="D14" s="300">
        <v>5.6873507499694824</v>
      </c>
      <c r="E14" s="300">
        <v>9.9699604511260986</v>
      </c>
      <c r="F14" s="300">
        <v>9.0933074951171875</v>
      </c>
      <c r="G14" s="283">
        <v>4</v>
      </c>
      <c r="H14" s="301">
        <f>IF(G14&gt;0,AVERAGE(C14:F14),"")</f>
        <v>8.8076573610305786</v>
      </c>
      <c r="I14" s="300">
        <f>IF(G14&gt;0,MIN(C14:F14),"")</f>
        <v>5.6873507499694824</v>
      </c>
      <c r="J14" s="300">
        <f>IF(G14&gt;0,MAX(C14:F14),"")</f>
        <v>10.480010747909546</v>
      </c>
      <c r="K14" s="300">
        <f>IF(G14&gt;0,J14-I14,"")</f>
        <v>4.7926599979400635</v>
      </c>
      <c r="L14" s="300">
        <f>IF(G14&gt;0,_xlfn.VAR.P(C14:F14),"")</f>
        <v>3.491405917496607</v>
      </c>
      <c r="M14" s="300">
        <f>IF(G14&gt;0,_xlfn.STDEV.P(C14:F14),"")</f>
        <v>1.8685304165296874</v>
      </c>
      <c r="N14" s="302">
        <v>12.495290255467921</v>
      </c>
      <c r="O14" s="302">
        <v>6.4314879623701113</v>
      </c>
      <c r="P14" s="302">
        <v>12.843250081915434</v>
      </c>
      <c r="Q14" s="302">
        <v>10.573157577987168</v>
      </c>
      <c r="R14" s="286">
        <f>G14</f>
        <v>4</v>
      </c>
      <c r="S14" s="303">
        <f>IF(R14&gt;0,AVERAGE(N14:Q14),"")</f>
        <v>10.585796469435159</v>
      </c>
      <c r="T14" s="302">
        <f>IF(R14&gt;0,MIN(N14:Q14),"")</f>
        <v>6.4314879623701113</v>
      </c>
      <c r="U14" s="302">
        <f>IF(R14&gt;0,MAX(N14:Q14),"")</f>
        <v>12.843250081915434</v>
      </c>
      <c r="V14" s="302">
        <f>IF(R14&gt;0,U14-T14,"")</f>
        <v>6.4117621195453225</v>
      </c>
      <c r="W14" s="302">
        <f>IF(R14&gt;0,_xlfn.VAR.P(N14:Q14),"")</f>
        <v>6.5001755612119894</v>
      </c>
      <c r="X14" s="302">
        <f>IF(R14&gt;0,_xlfn.STDEV.P(N14:Q14),"")</f>
        <v>2.5495441869502851</v>
      </c>
      <c r="Y14" s="232">
        <v>15</v>
      </c>
    </row>
    <row r="15" spans="1:25" x14ac:dyDescent="0.25">
      <c r="A15" s="232">
        <v>14</v>
      </c>
      <c r="B15" s="299">
        <v>10</v>
      </c>
      <c r="C15" s="300">
        <v>10.645266056060791</v>
      </c>
      <c r="D15" s="300">
        <v>7.721792459487915</v>
      </c>
      <c r="E15" s="300"/>
      <c r="F15" s="300"/>
      <c r="G15" s="283">
        <v>2</v>
      </c>
      <c r="H15" s="301">
        <f>IF(G15&gt;0,AVERAGE(C15:F15),"")</f>
        <v>9.183529257774353</v>
      </c>
      <c r="I15" s="300">
        <f>IF(G15&gt;0,MIN(C15:F15),"")</f>
        <v>7.721792459487915</v>
      </c>
      <c r="J15" s="300">
        <f>IF(G15&gt;0,MAX(C15:F15),"")</f>
        <v>10.645266056060791</v>
      </c>
      <c r="K15" s="300">
        <f>IF(G15&gt;0,J15-I15,"")</f>
        <v>2.923473596572876</v>
      </c>
      <c r="L15" s="300">
        <f>IF(G15&gt;0,_xlfn.VAR.P(C15:F15),"")</f>
        <v>2.1366744674646867</v>
      </c>
      <c r="M15" s="300">
        <f>IF(G15&gt;0,_xlfn.STDEV.P(C15:F15),"")</f>
        <v>1.461736798286438</v>
      </c>
      <c r="N15" s="302">
        <v>12.03810060354542</v>
      </c>
      <c r="O15" s="302">
        <v>9.2066735802757762</v>
      </c>
      <c r="P15" s="302"/>
      <c r="Q15" s="302"/>
      <c r="R15" s="286">
        <f>G15</f>
        <v>2</v>
      </c>
      <c r="S15" s="303">
        <f>IF(R15&gt;0,AVERAGE(N15:Q15),"")</f>
        <v>10.622387091910598</v>
      </c>
      <c r="T15" s="302">
        <f>IF(R15&gt;0,MIN(N15:Q15),"")</f>
        <v>9.2066735802757762</v>
      </c>
      <c r="U15" s="302">
        <f>IF(R15&gt;0,MAX(N15:Q15),"")</f>
        <v>12.03810060354542</v>
      </c>
      <c r="V15" s="302">
        <f>IF(R15&gt;0,U15-T15,"")</f>
        <v>2.8314270232696437</v>
      </c>
      <c r="W15" s="302">
        <f>IF(R15&gt;0,_xlfn.VAR.P(N15:Q15),"")</f>
        <v>2.0042447470253961</v>
      </c>
      <c r="X15" s="302">
        <f>IF(R15&gt;0,_xlfn.STDEV.P(N15:Q15),"")</f>
        <v>1.415713511634821</v>
      </c>
      <c r="Y15" s="232">
        <v>14</v>
      </c>
    </row>
    <row r="16" spans="1:25" x14ac:dyDescent="0.25">
      <c r="A16" s="232">
        <v>13</v>
      </c>
      <c r="B16" s="299">
        <v>13</v>
      </c>
      <c r="C16" s="300">
        <v>10.48025107383728</v>
      </c>
      <c r="D16" s="300">
        <v>7.7174708843231201</v>
      </c>
      <c r="E16" s="300">
        <v>10.579851865768433</v>
      </c>
      <c r="F16" s="300">
        <v>8.0238211154937744</v>
      </c>
      <c r="G16" s="283">
        <v>4</v>
      </c>
      <c r="H16" s="301">
        <f>IF(G16&gt;0,AVERAGE(C16:F16),"")</f>
        <v>9.2003487348556519</v>
      </c>
      <c r="I16" s="300">
        <f>IF(G16&gt;0,MIN(C16:F16),"")</f>
        <v>7.7174708843231201</v>
      </c>
      <c r="J16" s="300">
        <f>IF(G16&gt;0,MAX(C16:F16),"")</f>
        <v>10.579851865768433</v>
      </c>
      <c r="K16" s="300">
        <f>IF(G16&gt;0,J16-I16,"")</f>
        <v>2.8623809814453125</v>
      </c>
      <c r="L16" s="300">
        <f>IF(G16&gt;0,_xlfn.VAR.P(C16:F16),"")</f>
        <v>1.7810807110625291</v>
      </c>
      <c r="M16" s="300">
        <f>IF(G16&gt;0,_xlfn.STDEV.P(C16:F16),"")</f>
        <v>1.334571358550201</v>
      </c>
      <c r="N16" s="302">
        <v>11.92850948994078</v>
      </c>
      <c r="O16" s="302">
        <v>9.2015209771588662</v>
      </c>
      <c r="P16" s="302">
        <v>12.301623033049051</v>
      </c>
      <c r="Q16" s="302">
        <v>10.196955952716607</v>
      </c>
      <c r="R16" s="286">
        <f>G16</f>
        <v>4</v>
      </c>
      <c r="S16" s="303">
        <f>IF(R16&gt;0,AVERAGE(N16:Q16),"")</f>
        <v>10.907152363216326</v>
      </c>
      <c r="T16" s="302">
        <f>IF(R16&gt;0,MIN(N16:Q16),"")</f>
        <v>9.2015209771588662</v>
      </c>
      <c r="U16" s="302">
        <f>IF(R16&gt;0,MAX(N16:Q16),"")</f>
        <v>12.301623033049051</v>
      </c>
      <c r="V16" s="302">
        <f>IF(R16&gt;0,U16-T16,"")</f>
        <v>3.1001020558901846</v>
      </c>
      <c r="W16" s="302">
        <f>IF(R16&gt;0,_xlfn.VAR.P(N16:Q16),"")</f>
        <v>1.6003190489813761</v>
      </c>
      <c r="X16" s="302">
        <f>IF(R16&gt;0,_xlfn.STDEV.P(N16:Q16),"")</f>
        <v>1.2650371729642478</v>
      </c>
      <c r="Y16" s="232">
        <v>13</v>
      </c>
    </row>
    <row r="17" spans="1:25" x14ac:dyDescent="0.25">
      <c r="A17" s="232">
        <v>12</v>
      </c>
      <c r="B17" s="299">
        <v>6</v>
      </c>
      <c r="C17" s="300">
        <v>12.744451761245728</v>
      </c>
      <c r="D17" s="300">
        <v>6.2583112716674805</v>
      </c>
      <c r="E17" s="300">
        <v>10.109517812728882</v>
      </c>
      <c r="F17" s="300">
        <v>8.8676674365997314</v>
      </c>
      <c r="G17" s="283">
        <v>4</v>
      </c>
      <c r="H17" s="301">
        <f>IF(G17&gt;0,AVERAGE(C17:F17),"")</f>
        <v>9.4949870705604553</v>
      </c>
      <c r="I17" s="300">
        <f>IF(G17&gt;0,MIN(C17:F17),"")</f>
        <v>6.2583112716674805</v>
      </c>
      <c r="J17" s="300">
        <f>IF(G17&gt;0,MAX(C17:F17),"")</f>
        <v>12.744451761245728</v>
      </c>
      <c r="K17" s="300">
        <f>IF(G17&gt;0,J17-I17,"")</f>
        <v>6.4861404895782471</v>
      </c>
      <c r="L17" s="300">
        <f>IF(G17&gt;0,_xlfn.VAR.P(C17:F17),"")</f>
        <v>5.4515672398431292</v>
      </c>
      <c r="M17" s="300">
        <f>IF(G17&gt;0,_xlfn.STDEV.P(C17:F17),"")</f>
        <v>2.3348591477524141</v>
      </c>
      <c r="N17" s="302">
        <v>14.818491158367081</v>
      </c>
      <c r="O17" s="302">
        <v>7.3936736479144924</v>
      </c>
      <c r="P17" s="302">
        <v>12.053552467784248</v>
      </c>
      <c r="Q17" s="302">
        <v>10.093084070779682</v>
      </c>
      <c r="R17" s="286">
        <f>G17</f>
        <v>4</v>
      </c>
      <c r="S17" s="303">
        <f>IF(R17&gt;0,AVERAGE(N17:Q17),"")</f>
        <v>11.089700336211376</v>
      </c>
      <c r="T17" s="302">
        <f>IF(R17&gt;0,MIN(N17:Q17),"")</f>
        <v>7.3936736479144924</v>
      </c>
      <c r="U17" s="302">
        <f>IF(R17&gt;0,MAX(N17:Q17),"")</f>
        <v>14.818491158367081</v>
      </c>
      <c r="V17" s="302">
        <f>IF(R17&gt;0,U17-T17,"")</f>
        <v>7.4248175104525886</v>
      </c>
      <c r="W17" s="302">
        <f>IF(R17&gt;0,_xlfn.VAR.P(N17:Q17),"")</f>
        <v>7.3716872970140201</v>
      </c>
      <c r="X17" s="302">
        <f>IF(R17&gt;0,_xlfn.STDEV.P(N17:Q17),"")</f>
        <v>2.7150851362368034</v>
      </c>
      <c r="Y17" s="232">
        <v>12</v>
      </c>
    </row>
    <row r="18" spans="1:25" x14ac:dyDescent="0.25">
      <c r="A18" s="232">
        <v>11</v>
      </c>
      <c r="B18" s="299">
        <v>8</v>
      </c>
      <c r="C18" s="300">
        <v>8.5497510433197021</v>
      </c>
      <c r="D18" s="300">
        <v>10.637956380844116</v>
      </c>
      <c r="E18" s="300">
        <v>8.0511081218719482</v>
      </c>
      <c r="F18" s="300">
        <v>9.1505603790283203</v>
      </c>
      <c r="G18" s="283">
        <v>4</v>
      </c>
      <c r="H18" s="301">
        <f>IF(G18&gt;0,AVERAGE(C18:F18),"")</f>
        <v>9.0973439812660217</v>
      </c>
      <c r="I18" s="300">
        <f>IF(G18&gt;0,MIN(C18:F18),"")</f>
        <v>8.0511081218719482</v>
      </c>
      <c r="J18" s="300">
        <f>IF(G18&gt;0,MAX(C18:F18),"")</f>
        <v>10.637956380844116</v>
      </c>
      <c r="K18" s="300">
        <f>IF(G18&gt;0,J18-I18,"")</f>
        <v>2.586848258972168</v>
      </c>
      <c r="L18" s="300">
        <f>IF(G18&gt;0,_xlfn.VAR.P(C18:F18),"")</f>
        <v>0.94269651247383024</v>
      </c>
      <c r="M18" s="300">
        <f>IF(G18&gt;0,_xlfn.STDEV.P(C18:F18),"")</f>
        <v>0.97092559574553916</v>
      </c>
      <c r="N18" s="302">
        <v>10.846760062217022</v>
      </c>
      <c r="O18" s="302">
        <v>13.519091600001683</v>
      </c>
      <c r="P18" s="302">
        <v>9.5117138431074508</v>
      </c>
      <c r="Q18" s="302">
        <v>10.50072828944344</v>
      </c>
      <c r="R18" s="286">
        <f>G18</f>
        <v>4</v>
      </c>
      <c r="S18" s="303">
        <f>IF(R18&gt;0,AVERAGE(N18:Q18),"")</f>
        <v>11.094573448692401</v>
      </c>
      <c r="T18" s="302">
        <f>IF(R18&gt;0,MIN(N18:Q18),"")</f>
        <v>9.5117138431074508</v>
      </c>
      <c r="U18" s="302">
        <f>IF(R18&gt;0,MAX(N18:Q18),"")</f>
        <v>13.519091600001683</v>
      </c>
      <c r="V18" s="302">
        <f>IF(R18&gt;0,U18-T18,"")</f>
        <v>4.0073777568942326</v>
      </c>
      <c r="W18" s="302">
        <f>IF(R18&gt;0,_xlfn.VAR.P(N18:Q18),"")</f>
        <v>2.1994490861750933</v>
      </c>
      <c r="X18" s="302">
        <f>IF(R18&gt;0,_xlfn.STDEV.P(N18:Q18),"")</f>
        <v>1.4830539727788377</v>
      </c>
      <c r="Y18" s="232">
        <v>11</v>
      </c>
    </row>
    <row r="19" spans="1:25" x14ac:dyDescent="0.25">
      <c r="A19" s="232">
        <v>10</v>
      </c>
      <c r="B19" s="299">
        <v>21</v>
      </c>
      <c r="C19" s="300">
        <v>8.7624831199645996</v>
      </c>
      <c r="D19" s="300">
        <v>8.1966876983642578</v>
      </c>
      <c r="E19" s="300">
        <v>10.549050092697144</v>
      </c>
      <c r="F19" s="300"/>
      <c r="G19" s="283">
        <v>3</v>
      </c>
      <c r="H19" s="301">
        <f>IF(G19&gt;0,AVERAGE(C19:F19),"")</f>
        <v>9.1694069703420009</v>
      </c>
      <c r="I19" s="300">
        <f>IF(G19&gt;0,MIN(C19:F19),"")</f>
        <v>8.1966876983642578</v>
      </c>
      <c r="J19" s="300">
        <f>IF(G19&gt;0,MAX(C19:F19),"")</f>
        <v>10.549050092697144</v>
      </c>
      <c r="K19" s="300">
        <f>IF(G19&gt;0,J19-I19,"")</f>
        <v>2.3523623943328857</v>
      </c>
      <c r="L19" s="300">
        <f>IF(G19&gt;0,_xlfn.VAR.P(C19:F19),"")</f>
        <v>1.0050616490482551</v>
      </c>
      <c r="M19" s="300">
        <f>IF(G19&gt;0,_xlfn.STDEV.P(C19:F19),"")</f>
        <v>1.0025276300672492</v>
      </c>
      <c r="N19" s="302">
        <v>11.13567377993612</v>
      </c>
      <c r="O19" s="302">
        <v>10.558929543352559</v>
      </c>
      <c r="P19" s="302">
        <v>12.0068157961148</v>
      </c>
      <c r="Q19" s="302"/>
      <c r="R19" s="286">
        <f>G19</f>
        <v>3</v>
      </c>
      <c r="S19" s="303">
        <f>IF(R19&gt;0,AVERAGE(N19:Q19),"")</f>
        <v>11.233806373134493</v>
      </c>
      <c r="T19" s="302">
        <f>IF(R19&gt;0,MIN(N19:Q19),"")</f>
        <v>10.558929543352559</v>
      </c>
      <c r="U19" s="302">
        <f>IF(R19&gt;0,MAX(N19:Q19),"")</f>
        <v>12.0068157961148</v>
      </c>
      <c r="V19" s="302">
        <f>IF(R19&gt;0,U19-T19,"")</f>
        <v>1.4478862527622418</v>
      </c>
      <c r="W19" s="302">
        <f>IF(R19&gt;0,_xlfn.VAR.P(N19:Q19),"")</f>
        <v>0.35421076974689969</v>
      </c>
      <c r="X19" s="302">
        <f>IF(R19&gt;0,_xlfn.STDEV.P(N19:Q19),"")</f>
        <v>0.59515608855736302</v>
      </c>
      <c r="Y19" s="232">
        <v>10</v>
      </c>
    </row>
    <row r="20" spans="1:25" x14ac:dyDescent="0.25">
      <c r="A20" s="232">
        <v>9</v>
      </c>
      <c r="B20" s="299">
        <v>15</v>
      </c>
      <c r="C20" s="300">
        <v>9.761265754699707</v>
      </c>
      <c r="D20" s="300">
        <v>8.3039731979370117</v>
      </c>
      <c r="E20" s="300">
        <v>10.566066026687622</v>
      </c>
      <c r="F20" s="300">
        <v>9.755871057510376</v>
      </c>
      <c r="G20" s="283">
        <v>4</v>
      </c>
      <c r="H20" s="301">
        <f>IF(G20&gt;0,AVERAGE(C20:F20),"")</f>
        <v>9.5967940092086792</v>
      </c>
      <c r="I20" s="300">
        <f>IF(G20&gt;0,MIN(C20:F20),"")</f>
        <v>8.3039731979370117</v>
      </c>
      <c r="J20" s="300">
        <f>IF(G20&gt;0,MAX(C20:F20),"")</f>
        <v>10.566066026687622</v>
      </c>
      <c r="K20" s="300">
        <f>IF(G20&gt;0,J20-I20,"")</f>
        <v>2.2620928287506104</v>
      </c>
      <c r="L20" s="300">
        <f>IF(G20&gt;0,_xlfn.VAR.P(C20:F20),"")</f>
        <v>0.6658075890715196</v>
      </c>
      <c r="M20" s="300">
        <f>IF(G20&gt;0,_xlfn.STDEV.P(C20:F20),"")</f>
        <v>0.81597033590169166</v>
      </c>
      <c r="N20" s="302">
        <v>11.038437043676904</v>
      </c>
      <c r="O20" s="302">
        <v>10.552983137721931</v>
      </c>
      <c r="P20" s="302">
        <v>12.597893746266989</v>
      </c>
      <c r="Q20" s="302">
        <v>11.104027916150089</v>
      </c>
      <c r="R20" s="286">
        <f>G20</f>
        <v>4</v>
      </c>
      <c r="S20" s="303">
        <f>IF(R20&gt;0,AVERAGE(N20:Q20),"")</f>
        <v>11.323335460953977</v>
      </c>
      <c r="T20" s="302">
        <f>IF(R20&gt;0,MIN(N20:Q20),"")</f>
        <v>10.552983137721931</v>
      </c>
      <c r="U20" s="302">
        <f>IF(R20&gt;0,MAX(N20:Q20),"")</f>
        <v>12.597893746266989</v>
      </c>
      <c r="V20" s="302">
        <f>IF(R20&gt;0,U20-T20,"")</f>
        <v>2.0449106085450577</v>
      </c>
      <c r="W20" s="302">
        <f>IF(R20&gt;0,_xlfn.VAR.P(N20:Q20),"")</f>
        <v>0.58680110798598639</v>
      </c>
      <c r="X20" s="302">
        <f>IF(R20&gt;0,_xlfn.STDEV.P(N20:Q20),"")</f>
        <v>0.76602944328921618</v>
      </c>
      <c r="Y20" s="232">
        <v>9</v>
      </c>
    </row>
    <row r="21" spans="1:25" x14ac:dyDescent="0.25">
      <c r="A21" s="232">
        <v>8</v>
      </c>
      <c r="B21" s="299">
        <v>2</v>
      </c>
      <c r="C21" s="300">
        <v>10.655799150466919</v>
      </c>
      <c r="D21" s="300">
        <v>11.874939680099487</v>
      </c>
      <c r="E21" s="300">
        <v>10.725029945373535</v>
      </c>
      <c r="F21" s="300">
        <v>6.850182056427002</v>
      </c>
      <c r="G21" s="283">
        <v>4</v>
      </c>
      <c r="H21" s="301">
        <f>IF(G21&gt;0,AVERAGE(C21:F21),"")</f>
        <v>10.026487708091736</v>
      </c>
      <c r="I21" s="300">
        <f>IF(G21&gt;0,MIN(C21:F21),"")</f>
        <v>6.850182056427002</v>
      </c>
      <c r="J21" s="300">
        <f>IF(G21&gt;0,MAX(C21:F21),"")</f>
        <v>11.874939680099487</v>
      </c>
      <c r="K21" s="300">
        <f>IF(G21&gt;0,J21-I21,"")</f>
        <v>5.0247576236724854</v>
      </c>
      <c r="L21" s="300">
        <f>IF(G21&gt;0,_xlfn.VAR.P(C21:F21),"")</f>
        <v>3.5974216085969175</v>
      </c>
      <c r="M21" s="300">
        <f>IF(G21&gt;0,_xlfn.STDEV.P(C21:F21),"")</f>
        <v>1.8966870086012919</v>
      </c>
      <c r="N21" s="302">
        <v>12.050011855876726</v>
      </c>
      <c r="O21" s="302">
        <v>13.542705538766086</v>
      </c>
      <c r="P21" s="302">
        <v>12.307511309429868</v>
      </c>
      <c r="Q21" s="302">
        <v>8.0929196959751479</v>
      </c>
      <c r="R21" s="286">
        <f>G21</f>
        <v>4</v>
      </c>
      <c r="S21" s="303">
        <f>IF(R21&gt;0,AVERAGE(N21:Q21),"")</f>
        <v>11.498287100011957</v>
      </c>
      <c r="T21" s="302">
        <f>IF(R21&gt;0,MIN(N21:Q21),"")</f>
        <v>8.0929196959751479</v>
      </c>
      <c r="U21" s="302">
        <f>IF(R21&gt;0,MAX(N21:Q21),"")</f>
        <v>13.542705538766086</v>
      </c>
      <c r="V21" s="302">
        <f>IF(R21&gt;0,U21-T21,"")</f>
        <v>5.4497858427909378</v>
      </c>
      <c r="W21" s="302">
        <f>IF(R21&gt;0,_xlfn.VAR.P(N21:Q21),"")</f>
        <v>4.1838544841340592</v>
      </c>
      <c r="X21" s="302">
        <f>IF(R21&gt;0,_xlfn.STDEV.P(N21:Q21),"")</f>
        <v>2.0454472577248377</v>
      </c>
      <c r="Y21" s="232">
        <v>8</v>
      </c>
    </row>
    <row r="22" spans="1:25" x14ac:dyDescent="0.25">
      <c r="A22" s="232">
        <v>7</v>
      </c>
      <c r="B22" s="299">
        <v>19</v>
      </c>
      <c r="C22" s="300">
        <v>10.891574859619141</v>
      </c>
      <c r="D22" s="300">
        <v>10.355225801467896</v>
      </c>
      <c r="E22" s="300">
        <v>8.0747036933898926</v>
      </c>
      <c r="F22" s="300">
        <v>9.6479113101959229</v>
      </c>
      <c r="G22" s="283">
        <v>4</v>
      </c>
      <c r="H22" s="301">
        <f>IF(G22&gt;0,AVERAGE(C22:F22),"")</f>
        <v>9.7423539161682129</v>
      </c>
      <c r="I22" s="300">
        <f>IF(G22&gt;0,MIN(C22:F22),"")</f>
        <v>8.0747036933898926</v>
      </c>
      <c r="J22" s="300">
        <f>IF(G22&gt;0,MAX(C22:F22),"")</f>
        <v>10.891574859619141</v>
      </c>
      <c r="K22" s="300">
        <f>IF(G22&gt;0,J22-I22,"")</f>
        <v>2.816871166229248</v>
      </c>
      <c r="L22" s="300">
        <f>IF(G22&gt;0,_xlfn.VAR.P(C22:F22),"")</f>
        <v>1.1215743490031116</v>
      </c>
      <c r="M22" s="300">
        <f>IF(G22&gt;0,_xlfn.STDEV.P(C22:F22),"")</f>
        <v>1.0590440732108894</v>
      </c>
      <c r="N22" s="302">
        <v>12.86748877263782</v>
      </c>
      <c r="O22" s="302">
        <v>11.710111265798496</v>
      </c>
      <c r="P22" s="302">
        <v>9.2087486234245954</v>
      </c>
      <c r="Q22" s="302">
        <v>12.239956292646859</v>
      </c>
      <c r="R22" s="286">
        <f>G22</f>
        <v>4</v>
      </c>
      <c r="S22" s="303">
        <f>IF(R22&gt;0,AVERAGE(N22:Q22),"")</f>
        <v>11.506576238626943</v>
      </c>
      <c r="T22" s="302">
        <f>IF(R22&gt;0,MIN(N22:Q22),"")</f>
        <v>9.2087486234245954</v>
      </c>
      <c r="U22" s="302">
        <f>IF(R22&gt;0,MAX(N22:Q22),"")</f>
        <v>12.86748877263782</v>
      </c>
      <c r="V22" s="302">
        <f>IF(R22&gt;0,U22-T22,"")</f>
        <v>3.6587401492132248</v>
      </c>
      <c r="W22" s="302">
        <f>IF(R22&gt;0,_xlfn.VAR.P(N22:Q22),"")</f>
        <v>1.9278418713335839</v>
      </c>
      <c r="X22" s="302">
        <f>IF(R22&gt;0,_xlfn.STDEV.P(N22:Q22),"")</f>
        <v>1.3884674541859394</v>
      </c>
      <c r="Y22" s="232">
        <v>7</v>
      </c>
    </row>
    <row r="23" spans="1:25" x14ac:dyDescent="0.25">
      <c r="A23" s="232">
        <v>6</v>
      </c>
      <c r="B23" s="299">
        <v>4</v>
      </c>
      <c r="C23" s="300">
        <v>7.9198832511901855</v>
      </c>
      <c r="D23" s="300">
        <v>11.211392641067505</v>
      </c>
      <c r="E23" s="300">
        <v>8.9800457954406738</v>
      </c>
      <c r="F23" s="300">
        <v>9.978208065032959</v>
      </c>
      <c r="G23" s="283">
        <v>4</v>
      </c>
      <c r="H23" s="301">
        <f>IF(G23&gt;0,AVERAGE(C23:F23),"")</f>
        <v>9.5223824381828308</v>
      </c>
      <c r="I23" s="300">
        <f>IF(G23&gt;0,MIN(C23:F23),"")</f>
        <v>7.9198832511901855</v>
      </c>
      <c r="J23" s="300">
        <f>IF(G23&gt;0,MAX(C23:F23),"")</f>
        <v>11.211392641067505</v>
      </c>
      <c r="K23" s="300">
        <f>IF(G23&gt;0,J23-I23,"")</f>
        <v>3.2915093898773193</v>
      </c>
      <c r="L23" s="300">
        <f>IF(G23&gt;0,_xlfn.VAR.P(C23:F23),"")</f>
        <v>1.4806662864786944</v>
      </c>
      <c r="M23" s="300">
        <f>IF(G23&gt;0,_xlfn.STDEV.P(C23:F23),"")</f>
        <v>1.2168263173019782</v>
      </c>
      <c r="N23" s="302">
        <v>9.0884643847017763</v>
      </c>
      <c r="O23" s="302">
        <v>14.247834701701377</v>
      </c>
      <c r="P23" s="302">
        <v>10.4414636042737</v>
      </c>
      <c r="Q23" s="302">
        <v>12.658991844780921</v>
      </c>
      <c r="R23" s="286">
        <f>G23</f>
        <v>4</v>
      </c>
      <c r="S23" s="303">
        <f>IF(R23&gt;0,AVERAGE(N23:Q23),"")</f>
        <v>11.609188633864443</v>
      </c>
      <c r="T23" s="302">
        <f>IF(R23&gt;0,MIN(N23:Q23),"")</f>
        <v>9.0884643847017763</v>
      </c>
      <c r="U23" s="302">
        <f>IF(R23&gt;0,MAX(N23:Q23),"")</f>
        <v>14.247834701701377</v>
      </c>
      <c r="V23" s="302">
        <f>IF(R23&gt;0,U23-T23,"")</f>
        <v>5.1593703169996008</v>
      </c>
      <c r="W23" s="302">
        <f>IF(R23&gt;0,_xlfn.VAR.P(N23:Q23),"")</f>
        <v>3.9455430845027877</v>
      </c>
      <c r="X23" s="302">
        <f>IF(R23&gt;0,_xlfn.STDEV.P(N23:Q23),"")</f>
        <v>1.9863391161890731</v>
      </c>
      <c r="Y23" s="232">
        <v>6</v>
      </c>
    </row>
    <row r="24" spans="1:25" x14ac:dyDescent="0.25">
      <c r="A24" s="232">
        <v>5</v>
      </c>
      <c r="B24" s="299">
        <v>7</v>
      </c>
      <c r="C24" s="300">
        <v>10.520974397659302</v>
      </c>
      <c r="D24" s="300">
        <v>9.7513809204101563</v>
      </c>
      <c r="E24" s="300">
        <v>9.5902600288391113</v>
      </c>
      <c r="F24" s="300">
        <v>9.1702060699462891</v>
      </c>
      <c r="G24" s="283">
        <v>4</v>
      </c>
      <c r="H24" s="301">
        <f>IF(G24&gt;0,AVERAGE(C24:F24),"")</f>
        <v>9.7582053542137146</v>
      </c>
      <c r="I24" s="300">
        <f>IF(G24&gt;0,MIN(C24:F24),"")</f>
        <v>9.1702060699462891</v>
      </c>
      <c r="J24" s="300">
        <f>IF(G24&gt;0,MAX(C24:F24),"")</f>
        <v>10.520974397659302</v>
      </c>
      <c r="K24" s="300">
        <f>IF(G24&gt;0,J24-I24,"")</f>
        <v>1.3507683277130127</v>
      </c>
      <c r="L24" s="300">
        <f>IF(G24&gt;0,_xlfn.VAR.P(C24:F24),"")</f>
        <v>0.23895299428745531</v>
      </c>
      <c r="M24" s="300">
        <f>IF(G24&gt;0,_xlfn.STDEV.P(C24:F24),"")</f>
        <v>0.48882818483333723</v>
      </c>
      <c r="N24" s="302">
        <v>11.998583747517873</v>
      </c>
      <c r="O24" s="302">
        <v>12.371224446542616</v>
      </c>
      <c r="P24" s="302">
        <v>11.434442727996249</v>
      </c>
      <c r="Q24" s="302">
        <v>11.65382253998847</v>
      </c>
      <c r="R24" s="286">
        <f>G24</f>
        <v>4</v>
      </c>
      <c r="S24" s="303">
        <f>IF(R24&gt;0,AVERAGE(N24:Q24),"")</f>
        <v>11.864518365511302</v>
      </c>
      <c r="T24" s="302">
        <f>IF(R24&gt;0,MIN(N24:Q24),"")</f>
        <v>11.434442727996249</v>
      </c>
      <c r="U24" s="302">
        <f>IF(R24&gt;0,MAX(N24:Q24),"")</f>
        <v>12.371224446542616</v>
      </c>
      <c r="V24" s="302">
        <f>IF(R24&gt;0,U24-T24,"")</f>
        <v>0.93678171854636716</v>
      </c>
      <c r="W24" s="302">
        <f>IF(R24&gt;0,_xlfn.VAR.P(N24:Q24),"")</f>
        <v>0.12602059102085189</v>
      </c>
      <c r="X24" s="302">
        <f>IF(R24&gt;0,_xlfn.STDEV.P(N24:Q24),"")</f>
        <v>0.35499379011590032</v>
      </c>
      <c r="Y24" s="232">
        <v>5</v>
      </c>
    </row>
    <row r="25" spans="1:25" x14ac:dyDescent="0.25">
      <c r="A25" s="232">
        <v>4</v>
      </c>
      <c r="B25" s="299">
        <v>24</v>
      </c>
      <c r="C25" s="300">
        <v>12.614920139312744</v>
      </c>
      <c r="D25" s="300">
        <v>8.0104568004608154</v>
      </c>
      <c r="E25" s="300">
        <v>10.920634031295776</v>
      </c>
      <c r="F25" s="300">
        <v>8.21201491355896</v>
      </c>
      <c r="G25" s="283">
        <v>4</v>
      </c>
      <c r="H25" s="301">
        <f>IF(G25&gt;0,AVERAGE(C25:F25),"")</f>
        <v>9.939506471157074</v>
      </c>
      <c r="I25" s="300">
        <f>IF(G25&gt;0,MIN(C25:F25),"")</f>
        <v>8.0104568004608154</v>
      </c>
      <c r="J25" s="300">
        <f>IF(G25&gt;0,MAX(C25:F25),"")</f>
        <v>12.614920139312744</v>
      </c>
      <c r="K25" s="300">
        <f>IF(G25&gt;0,J25-I25,"")</f>
        <v>4.6044633388519287</v>
      </c>
      <c r="L25" s="300">
        <f>IF(G25&gt;0,_xlfn.VAR.P(C25:F25),"")</f>
        <v>3.7064773246510043</v>
      </c>
      <c r="M25" s="300">
        <f>IF(G25&gt;0,_xlfn.STDEV.P(C25:F25),"")</f>
        <v>1.9252213702977132</v>
      </c>
      <c r="N25" s="302">
        <v>14.667879485907408</v>
      </c>
      <c r="O25" s="302">
        <v>10.162576952605207</v>
      </c>
      <c r="P25" s="302">
        <v>12.454373240338654</v>
      </c>
      <c r="Q25" s="302">
        <v>10.578673980531613</v>
      </c>
      <c r="R25" s="286">
        <f>G25</f>
        <v>4</v>
      </c>
      <c r="S25" s="303">
        <f>IF(R25&gt;0,AVERAGE(N25:Q25),"")</f>
        <v>11.96587591484572</v>
      </c>
      <c r="T25" s="302">
        <f>IF(R25&gt;0,MIN(N25:Q25),"")</f>
        <v>10.162576952605207</v>
      </c>
      <c r="U25" s="302">
        <f>IF(R25&gt;0,MAX(N25:Q25),"")</f>
        <v>14.667879485907408</v>
      </c>
      <c r="V25" s="302">
        <f>IF(R25&gt;0,U25-T25,"")</f>
        <v>4.505302533302201</v>
      </c>
      <c r="W25" s="302">
        <f>IF(R25&gt;0,_xlfn.VAR.P(N25:Q25),"")</f>
        <v>3.178917322206587</v>
      </c>
      <c r="X25" s="302">
        <f>IF(R25&gt;0,_xlfn.STDEV.P(N25:Q25),"")</f>
        <v>1.782951856390572</v>
      </c>
      <c r="Y25" s="232">
        <v>4</v>
      </c>
    </row>
    <row r="26" spans="1:25" x14ac:dyDescent="0.25">
      <c r="A26" s="232">
        <v>3</v>
      </c>
      <c r="B26" s="299">
        <v>3</v>
      </c>
      <c r="C26" s="300">
        <v>8.0666651725769043</v>
      </c>
      <c r="D26" s="300">
        <v>13.818844556808472</v>
      </c>
      <c r="E26" s="300">
        <v>9.7161521911621094</v>
      </c>
      <c r="F26" s="300">
        <v>9.7607836723327637</v>
      </c>
      <c r="G26" s="283">
        <v>4</v>
      </c>
      <c r="H26" s="301">
        <f>IF(G26&gt;0,AVERAGE(C26:F26),"")</f>
        <v>10.340611398220062</v>
      </c>
      <c r="I26" s="300">
        <f>IF(G26&gt;0,MIN(C26:F26),"")</f>
        <v>8.0666651725769043</v>
      </c>
      <c r="J26" s="300">
        <f>IF(G26&gt;0,MAX(C26:F26),"")</f>
        <v>13.818844556808472</v>
      </c>
      <c r="K26" s="300">
        <f>IF(G26&gt;0,J26-I26,"")</f>
        <v>5.7521793842315674</v>
      </c>
      <c r="L26" s="300">
        <f>IF(G26&gt;0,_xlfn.VAR.P(C26:F26),"")</f>
        <v>4.4987717089019412</v>
      </c>
      <c r="M26" s="300">
        <f>IF(G26&gt;0,_xlfn.STDEV.P(C26:F26),"")</f>
        <v>2.1210308128129447</v>
      </c>
      <c r="N26" s="302">
        <v>10.251403697329053</v>
      </c>
      <c r="O26" s="302">
        <v>15.857819188611149</v>
      </c>
      <c r="P26" s="302">
        <v>10.987420787851073</v>
      </c>
      <c r="Q26" s="302">
        <v>11.131628678798563</v>
      </c>
      <c r="R26" s="286">
        <f>G26</f>
        <v>4</v>
      </c>
      <c r="S26" s="303">
        <f>IF(R26&gt;0,AVERAGE(N26:Q26),"")</f>
        <v>12.05706808814746</v>
      </c>
      <c r="T26" s="302">
        <f>IF(R26&gt;0,MIN(N26:Q26),"")</f>
        <v>10.251403697329053</v>
      </c>
      <c r="U26" s="302">
        <f>IF(R26&gt;0,MAX(N26:Q26),"")</f>
        <v>15.857819188611149</v>
      </c>
      <c r="V26" s="302">
        <f>IF(R26&gt;0,U26-T26,"")</f>
        <v>5.606415491282096</v>
      </c>
      <c r="W26" s="302">
        <f>IF(R26&gt;0,_xlfn.VAR.P(N26:Q26),"")</f>
        <v>4.9266790668382043</v>
      </c>
      <c r="X26" s="302">
        <f>IF(R26&gt;0,_xlfn.STDEV.P(N26:Q26),"")</f>
        <v>2.219612368599122</v>
      </c>
      <c r="Y26" s="232">
        <v>3</v>
      </c>
    </row>
    <row r="27" spans="1:25" x14ac:dyDescent="0.25">
      <c r="A27" s="232">
        <v>2</v>
      </c>
      <c r="B27" s="299">
        <v>25</v>
      </c>
      <c r="C27" s="300">
        <v>9.9017162322998047</v>
      </c>
      <c r="D27" s="300">
        <v>10.247096061706543</v>
      </c>
      <c r="E27" s="300">
        <v>11.80044960975647</v>
      </c>
      <c r="F27" s="300"/>
      <c r="G27" s="283">
        <v>3</v>
      </c>
      <c r="H27" s="301">
        <f>IF(G27&gt;0,AVERAGE(C27:F27),"")</f>
        <v>10.649753967920939</v>
      </c>
      <c r="I27" s="300">
        <f>IF(G27&gt;0,MIN(C27:F27),"")</f>
        <v>9.9017162322998047</v>
      </c>
      <c r="J27" s="300">
        <f>IF(G27&gt;0,MAX(C27:F27),"")</f>
        <v>11.80044960975647</v>
      </c>
      <c r="K27" s="300">
        <f>IF(G27&gt;0,J27-I27,"")</f>
        <v>1.898733377456665</v>
      </c>
      <c r="L27" s="300">
        <f>IF(G27&gt;0,_xlfn.VAR.P(C27:F27),"")</f>
        <v>0.68193143449647986</v>
      </c>
      <c r="M27" s="300">
        <f>IF(G27&gt;0,_xlfn.STDEV.P(C27:F27),"")</f>
        <v>0.82579139889955255</v>
      </c>
      <c r="N27" s="302">
        <v>11.270027331553484</v>
      </c>
      <c r="O27" s="302">
        <v>11.759058138823232</v>
      </c>
      <c r="P27" s="302">
        <v>13.941248609379652</v>
      </c>
      <c r="Q27" s="302"/>
      <c r="R27" s="286">
        <f>G27</f>
        <v>3</v>
      </c>
      <c r="S27" s="303">
        <f>IF(R27&gt;0,AVERAGE(N27:Q27),"")</f>
        <v>12.323444693252123</v>
      </c>
      <c r="T27" s="302">
        <f>IF(R27&gt;0,MIN(N27:Q27),"")</f>
        <v>11.270027331553484</v>
      </c>
      <c r="U27" s="302">
        <f>IF(R27&gt;0,MAX(N27:Q27),"")</f>
        <v>13.941248609379652</v>
      </c>
      <c r="V27" s="302">
        <f>IF(R27&gt;0,U27-T27,"")</f>
        <v>2.6712212778261684</v>
      </c>
      <c r="W27" s="302">
        <f>IF(R27&gt;0,_xlfn.VAR.P(N27:Q27),"")</f>
        <v>1.3485032772619359</v>
      </c>
      <c r="X27" s="302">
        <f>IF(R27&gt;0,_xlfn.STDEV.P(N27:Q27),"")</f>
        <v>1.1612507383256796</v>
      </c>
      <c r="Y27" s="232">
        <v>2</v>
      </c>
    </row>
    <row r="28" spans="1:25" x14ac:dyDescent="0.25">
      <c r="A28" s="232">
        <v>1</v>
      </c>
      <c r="B28" s="299">
        <v>5</v>
      </c>
      <c r="C28" s="300">
        <v>12.822942018508911</v>
      </c>
      <c r="D28" s="300">
        <v>10.965616464614868</v>
      </c>
      <c r="E28" s="300">
        <v>10.052163124084473</v>
      </c>
      <c r="F28" s="300">
        <v>8.4688751697540283</v>
      </c>
      <c r="G28" s="283">
        <v>4</v>
      </c>
      <c r="H28" s="301">
        <f>IF(G28&gt;0,AVERAGE(C28:F28),"")</f>
        <v>10.57739919424057</v>
      </c>
      <c r="I28" s="300">
        <f>IF(G28&gt;0,MIN(C28:F28),"")</f>
        <v>8.4688751697540283</v>
      </c>
      <c r="J28" s="300">
        <f>IF(G28&gt;0,MAX(C28:F28),"")</f>
        <v>12.822942018508911</v>
      </c>
      <c r="K28" s="300">
        <f>IF(G28&gt;0,J28-I28,"")</f>
        <v>4.3540668487548828</v>
      </c>
      <c r="L28" s="300">
        <f>IF(G28&gt;0,_xlfn.VAR.P(C28:F28),"")</f>
        <v>2.4787304289674665</v>
      </c>
      <c r="M28" s="300">
        <f>IF(G28&gt;0,_xlfn.STDEV.P(C28:F28),"")</f>
        <v>1.5743984339954948</v>
      </c>
      <c r="N28" s="302">
        <v>14.714970934047617</v>
      </c>
      <c r="O28" s="302">
        <v>12.954962763614359</v>
      </c>
      <c r="P28" s="302">
        <v>12.949143128470805</v>
      </c>
      <c r="Q28" s="302">
        <v>10.744155765209509</v>
      </c>
      <c r="R28" s="286">
        <f>G28</f>
        <v>4</v>
      </c>
      <c r="S28" s="303">
        <f>IF(R28&gt;0,AVERAGE(N28:Q28),"")</f>
        <v>12.840808147835574</v>
      </c>
      <c r="T28" s="302">
        <f>IF(R28&gt;0,MIN(N28:Q28),"")</f>
        <v>10.744155765209509</v>
      </c>
      <c r="U28" s="302">
        <f>IF(R28&gt;0,MAX(N28:Q28),"")</f>
        <v>14.714970934047617</v>
      </c>
      <c r="V28" s="302">
        <f>IF(R28&gt;0,U28-T28,"")</f>
        <v>3.9708151688381079</v>
      </c>
      <c r="W28" s="302">
        <f>IF(R28&gt;0,_xlfn.VAR.P(N28:Q28),"")</f>
        <v>1.9833012767815887</v>
      </c>
      <c r="X28" s="302">
        <f>IF(R28&gt;0,_xlfn.STDEV.P(N28:Q28),"")</f>
        <v>1.4082972970156511</v>
      </c>
      <c r="Y28" s="232">
        <v>1</v>
      </c>
    </row>
  </sheetData>
  <sortState xmlns:xlrd2="http://schemas.microsoft.com/office/spreadsheetml/2017/richdata2" ref="B4:X28">
    <sortCondition ref="S4:S28"/>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A97B-A4B8-479D-9D05-D98A751A18A0}">
  <sheetPr codeName="Sheet3">
    <tabColor theme="5" tint="0.79998168889431442"/>
  </sheetPr>
  <dimension ref="A1:A5"/>
  <sheetViews>
    <sheetView zoomScale="145" zoomScaleNormal="145" workbookViewId="0">
      <selection activeCell="A10" sqref="A10:K10"/>
    </sheetView>
  </sheetViews>
  <sheetFormatPr defaultRowHeight="15" x14ac:dyDescent="0.25"/>
  <cols>
    <col min="1" max="1" width="127.5703125" bestFit="1" customWidth="1"/>
  </cols>
  <sheetData>
    <row r="1" spans="1:1" x14ac:dyDescent="0.25">
      <c r="A1" s="304" t="str">
        <f>"Thank you for your willingess to help evaluate the projects submitted to the " &amp; 'Competition Parameters'!C7</f>
        <v>Thank you for your willingess to help evaluate the projects submitted to the AN EXCITING PROGRAM/COMPETITION</v>
      </c>
    </row>
    <row r="2" spans="1:1" x14ac:dyDescent="0.25">
      <c r="A2" s="304" t="s">
        <v>310</v>
      </c>
    </row>
    <row r="3" spans="1:1" x14ac:dyDescent="0.25">
      <c r="A3" s="304" t="s">
        <v>311</v>
      </c>
    </row>
    <row r="4" spans="1:1" x14ac:dyDescent="0.25">
      <c r="A4" s="304" t="s">
        <v>312</v>
      </c>
    </row>
    <row r="5" spans="1:1" ht="30" x14ac:dyDescent="0.25">
      <c r="A5" s="305" t="s">
        <v>313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795A-3B63-4C78-9D08-A872B5B7F80F}">
  <sheetPr codeName="Sheet24">
    <tabColor theme="5" tint="0.79998168889431442"/>
  </sheetPr>
  <dimension ref="A1:A4"/>
  <sheetViews>
    <sheetView zoomScale="145" zoomScaleNormal="145" workbookViewId="0">
      <selection activeCell="A10" sqref="A10:K10"/>
    </sheetView>
  </sheetViews>
  <sheetFormatPr defaultRowHeight="15" x14ac:dyDescent="0.25"/>
  <cols>
    <col min="1" max="1" width="134" customWidth="1"/>
  </cols>
  <sheetData>
    <row r="1" spans="1:1" x14ac:dyDescent="0.25">
      <c r="A1" s="304" t="str">
        <f>"Thank you for your willingess to help evaluate the projects submitted to the " &amp;'Competition Parameters'!C7</f>
        <v>Thank you for your willingess to help evaluate the projects submitted to the AN EXCITING PROGRAM/COMPETITION</v>
      </c>
    </row>
    <row r="2" spans="1:1" ht="75" x14ac:dyDescent="0.25">
      <c r="A2" s="305" t="s">
        <v>314</v>
      </c>
    </row>
    <row r="3" spans="1:1" x14ac:dyDescent="0.25">
      <c r="A3" s="306" t="str">
        <f>"For more information see: " &amp; 'Competition Parameters'!C9</f>
        <v xml:space="preserve">For more information see: </v>
      </c>
    </row>
    <row r="4" spans="1:1" x14ac:dyDescent="0.25">
      <c r="A4" s="307" t="s">
        <v>315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2B635-3AF5-421D-8676-30056A51FB21}">
  <sheetPr codeName="Sheet11">
    <tabColor theme="5" tint="0.79998168889431442"/>
  </sheetPr>
  <dimension ref="A1:K26"/>
  <sheetViews>
    <sheetView zoomScale="85" zoomScaleNormal="85" workbookViewId="0">
      <pane ySplit="1" topLeftCell="A2" activePane="bottomLeft" state="frozen"/>
      <selection activeCell="A10" sqref="A10:K10"/>
      <selection pane="bottomLeft" activeCell="A10" sqref="A10:K10"/>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26" customWidth="1"/>
    <col min="7" max="7" width="20.85546875" style="126" customWidth="1"/>
    <col min="8" max="8" width="13.85546875" bestFit="1" customWidth="1"/>
    <col min="9" max="9" width="2.28515625" customWidth="1"/>
    <col min="11" max="11" width="22.85546875" customWidth="1"/>
    <col min="27" max="1002" width="9.140625" customWidth="1"/>
  </cols>
  <sheetData>
    <row r="1" spans="1:11" ht="142.5" customHeight="1" x14ac:dyDescent="0.25">
      <c r="A1" s="308" t="s">
        <v>69</v>
      </c>
      <c r="B1" s="309" t="str">
        <f>Projects!B2</f>
        <v>Project Name</v>
      </c>
      <c r="C1" s="309" t="str">
        <f>Projects!C2</f>
        <v>Contact Name</v>
      </c>
      <c r="D1" s="309" t="str">
        <f>Projects!D2</f>
        <v>Organization</v>
      </c>
      <c r="E1" s="309" t="str">
        <f>Projects!F2</f>
        <v>Description</v>
      </c>
      <c r="F1" s="91" t="s">
        <v>316</v>
      </c>
      <c r="G1" s="112" t="s">
        <v>317</v>
      </c>
      <c r="H1" s="105" t="s">
        <v>318</v>
      </c>
      <c r="I1" s="310"/>
      <c r="J1" s="104" t="s">
        <v>181</v>
      </c>
      <c r="K1" s="77"/>
    </row>
    <row r="2" spans="1:11" ht="30" x14ac:dyDescent="0.25">
      <c r="A2" s="77">
        <v>1</v>
      </c>
      <c r="B2" s="311" t="str">
        <f>Projects!B3</f>
        <v>Project 1</v>
      </c>
      <c r="C2" s="311" t="str">
        <f>IF(LEN(Projects!C3)&gt;0,Projects!C3,"")</f>
        <v>Kristyn Sergio</v>
      </c>
      <c r="D2" s="312" t="str">
        <f>IF(LEN(Projects!D3)&gt;0,Projects!D3,"")</f>
        <v>Carleton University</v>
      </c>
      <c r="E2" s="311" t="str">
        <f>IF(LEN(Projects!F3)&gt;0,Projects!F3,"")</f>
        <v/>
      </c>
      <c r="F2" s="313" t="str">
        <f>IF(LEN($K$1)&gt;0,IF(AND(LEN(D2)&gt;0,VLOOKUP($K$1,Markers!A:D,3,FALSE)='Marker Project - template'!D2),"SAME ORGANIZATION",IF(ISNA(VLOOKUP(A2,Projects!A:G,5,FALSE)),"",IF(VLOOKUP(A2,Projects!A:G,7,FALSE)='Marker Project - template'!$K$1,"MENTOR",""))),"")</f>
        <v/>
      </c>
      <c r="G2" s="314"/>
      <c r="H2" s="312" t="str">
        <f>IF(AND(G2&lt;&gt;"L",G2&lt;&gt;"M",G2&lt;&gt;"H",G2&lt;&gt;"X"),"Enter L, M or H","")</f>
        <v>Enter L, M or H</v>
      </c>
      <c r="J2" s="112" t="s">
        <v>182</v>
      </c>
      <c r="K2" s="315"/>
    </row>
    <row r="3" spans="1:11" x14ac:dyDescent="0.25">
      <c r="A3" s="77">
        <v>2</v>
      </c>
      <c r="B3" s="311" t="str">
        <f>Projects!B4</f>
        <v>Project 2</v>
      </c>
      <c r="C3" s="311" t="str">
        <f>IF(LEN(Projects!C4)&gt;0,Projects!C4,"")</f>
        <v>Chu Vanallen</v>
      </c>
      <c r="D3" s="312" t="str">
        <f>IF(LEN(Projects!D4)&gt;0,Projects!D4,"")</f>
        <v>Cégep de Chicoutimi</v>
      </c>
      <c r="E3" s="311" t="str">
        <f>IF(LEN(Projects!F4)&gt;0,Projects!F4,"")</f>
        <v/>
      </c>
      <c r="F3" s="313" t="str">
        <f>IF(LEN($K$1)&gt;0,IF(AND(LEN(D3)&gt;0,VLOOKUP($K$1,Markers!A:D,3,FALSE)='Marker Project - template'!D3),"SAME ORGANIZATION",IF(ISNA(VLOOKUP(A3,Projects!A:G,5,FALSE)),"",IF(VLOOKUP(A3,Projects!A:G,7,FALSE)='Marker Project - template'!$K$1,"MENTOR",""))),"")</f>
        <v/>
      </c>
      <c r="G3" s="314"/>
      <c r="H3" s="72"/>
    </row>
    <row r="4" spans="1:11" x14ac:dyDescent="0.25">
      <c r="A4" s="77">
        <v>3</v>
      </c>
      <c r="B4" s="311" t="str">
        <f>Projects!B5</f>
        <v>Project 3</v>
      </c>
      <c r="C4" s="311" t="str">
        <f>IF(LEN(Projects!C5)&gt;0,Projects!C5,"")</f>
        <v>Yetta Cisneros</v>
      </c>
      <c r="D4" s="312" t="str">
        <f>IF(LEN(Projects!D5)&gt;0,Projects!D5,"")</f>
        <v>Cégep de Sainte-Foy</v>
      </c>
      <c r="E4" s="311" t="str">
        <f>IF(LEN(Projects!F5)&gt;0,Projects!F5,"")</f>
        <v/>
      </c>
      <c r="F4" s="313" t="str">
        <f>IF(LEN($K$1)&gt;0,IF(AND(LEN(D4)&gt;0,VLOOKUP($K$1,Markers!A:D,3,FALSE)='Marker Project - template'!D4),"SAME ORGANIZATION",IF(ISNA(VLOOKUP(A4,Projects!A:G,5,FALSE)),"",IF(VLOOKUP(A4,Projects!A:G,7,FALSE)='Marker Project - template'!$K$1,"MENTOR",""))),"")</f>
        <v/>
      </c>
      <c r="G4" s="314"/>
    </row>
    <row r="5" spans="1:11" x14ac:dyDescent="0.25">
      <c r="A5" s="77">
        <v>4</v>
      </c>
      <c r="B5" s="311" t="str">
        <f>Projects!B6</f>
        <v>Project 4</v>
      </c>
      <c r="C5" s="311" t="str">
        <f>IF(LEN(Projects!C6)&gt;0,Projects!C6,"")</f>
        <v>Henriette Wilford</v>
      </c>
      <c r="D5" s="312" t="str">
        <f>IF(LEN(Projects!D6)&gt;0,Projects!D6,"")</f>
        <v>Cégep de Shawinigan</v>
      </c>
      <c r="E5" s="311" t="str">
        <f>IF(LEN(Projects!F6)&gt;0,Projects!F6,"")</f>
        <v/>
      </c>
      <c r="F5" s="313" t="str">
        <f>IF(LEN($K$1)&gt;0,IF(AND(LEN(D5)&gt;0,VLOOKUP($K$1,Markers!A:D,3,FALSE)='Marker Project - template'!D5),"SAME ORGANIZATION",IF(ISNA(VLOOKUP(A5,Projects!A:G,5,FALSE)),"",IF(VLOOKUP(A5,Projects!A:G,7,FALSE)='Marker Project - template'!$K$1,"MENTOR",""))),"")</f>
        <v/>
      </c>
      <c r="G5" s="314"/>
    </row>
    <row r="6" spans="1:11" x14ac:dyDescent="0.25">
      <c r="A6" s="77">
        <v>5</v>
      </c>
      <c r="B6" s="311" t="str">
        <f>Projects!B7</f>
        <v>Project 5</v>
      </c>
      <c r="C6" s="311" t="str">
        <f>IF(LEN(Projects!C7)&gt;0,Projects!C7,"")</f>
        <v>Era Vandervoort</v>
      </c>
      <c r="D6" s="312" t="str">
        <f>IF(LEN(Projects!D7)&gt;0,Projects!D7,"")</f>
        <v>Cégep de Sherbrooke</v>
      </c>
      <c r="E6" s="311" t="str">
        <f>IF(LEN(Projects!F7)&gt;0,Projects!F7,"")</f>
        <v/>
      </c>
      <c r="F6" s="313" t="str">
        <f>IF(LEN($K$1)&gt;0,IF(AND(LEN(D6)&gt;0,VLOOKUP($K$1,Markers!A:D,3,FALSE)='Marker Project - template'!D6),"SAME ORGANIZATION",IF(ISNA(VLOOKUP(A6,Projects!A:G,5,FALSE)),"",IF(VLOOKUP(A6,Projects!A:G,7,FALSE)='Marker Project - template'!$K$1,"MENTOR",""))),"")</f>
        <v/>
      </c>
      <c r="G6" s="314"/>
    </row>
    <row r="7" spans="1:11" x14ac:dyDescent="0.25">
      <c r="A7" s="77">
        <v>6</v>
      </c>
      <c r="B7" s="311" t="str">
        <f>Projects!B8</f>
        <v>Project 6</v>
      </c>
      <c r="C7" s="311" t="str">
        <f>IF(LEN(Projects!C8)&gt;0,Projects!C8,"")</f>
        <v>Elmer Seawood</v>
      </c>
      <c r="D7" s="312" t="str">
        <f>IF(LEN(Projects!D8)&gt;0,Projects!D8,"")</f>
        <v>Collège de Rosemont</v>
      </c>
      <c r="E7" s="311" t="str">
        <f>IF(LEN(Projects!F8)&gt;0,Projects!F8,"")</f>
        <v/>
      </c>
      <c r="F7" s="313" t="str">
        <f>IF(LEN($K$1)&gt;0,IF(AND(LEN(D7)&gt;0,VLOOKUP($K$1,Markers!A:D,3,FALSE)='Marker Project - template'!D7),"SAME ORGANIZATION",IF(ISNA(VLOOKUP(A7,Projects!A:G,5,FALSE)),"",IF(VLOOKUP(A7,Projects!A:G,7,FALSE)='Marker Project - template'!$K$1,"MENTOR",""))),"")</f>
        <v/>
      </c>
      <c r="G7" s="314"/>
    </row>
    <row r="8" spans="1:11" x14ac:dyDescent="0.25">
      <c r="A8" s="77">
        <v>7</v>
      </c>
      <c r="B8" s="311" t="str">
        <f>Projects!B9</f>
        <v>Project 7</v>
      </c>
      <c r="C8" s="311" t="str">
        <f>IF(LEN(Projects!C9)&gt;0,Projects!C9,"")</f>
        <v>Aldo Range</v>
      </c>
      <c r="D8" s="312" t="str">
        <f>IF(LEN(Projects!D9)&gt;0,Projects!D9,"")</f>
        <v>Collège Montmorency</v>
      </c>
      <c r="E8" s="311" t="str">
        <f>IF(LEN(Projects!F9)&gt;0,Projects!F9,"")</f>
        <v/>
      </c>
      <c r="F8" s="313" t="str">
        <f>IF(LEN($K$1)&gt;0,IF(AND(LEN(D8)&gt;0,VLOOKUP($K$1,Markers!A:D,3,FALSE)='Marker Project - template'!D8),"SAME ORGANIZATION",IF(ISNA(VLOOKUP(A8,Projects!A:G,5,FALSE)),"",IF(VLOOKUP(A8,Projects!A:G,7,FALSE)='Marker Project - template'!$K$1,"MENTOR",""))),"")</f>
        <v/>
      </c>
      <c r="G8" s="314"/>
    </row>
    <row r="9" spans="1:11" x14ac:dyDescent="0.25">
      <c r="A9" s="77">
        <v>8</v>
      </c>
      <c r="B9" s="311" t="str">
        <f>Projects!B10</f>
        <v>Project 8</v>
      </c>
      <c r="C9" s="311" t="str">
        <f>IF(LEN(Projects!C10)&gt;0,Projects!C10,"")</f>
        <v>Dena Demas</v>
      </c>
      <c r="D9" s="312" t="str">
        <f>IF(LEN(Projects!D10)&gt;0,Projects!D10,"")</f>
        <v>John Abbott College</v>
      </c>
      <c r="E9" s="311" t="str">
        <f>IF(LEN(Projects!F10)&gt;0,Projects!F10,"")</f>
        <v/>
      </c>
      <c r="F9" s="313" t="str">
        <f>IF(LEN($K$1)&gt;0,IF(AND(LEN(D9)&gt;0,VLOOKUP($K$1,Markers!A:D,3,FALSE)='Marker Project - template'!D9),"SAME ORGANIZATION",IF(ISNA(VLOOKUP(A9,Projects!A:G,5,FALSE)),"",IF(VLOOKUP(A9,Projects!A:G,7,FALSE)='Marker Project - template'!$K$1,"MENTOR",""))),"")</f>
        <v/>
      </c>
      <c r="G9" s="314"/>
    </row>
    <row r="10" spans="1:11" x14ac:dyDescent="0.25">
      <c r="A10" s="77">
        <v>9</v>
      </c>
      <c r="B10" s="311" t="str">
        <f>Projects!B11</f>
        <v>Project 9</v>
      </c>
      <c r="C10" s="311" t="str">
        <f>IF(LEN(Projects!C11)&gt;0,Projects!C11,"")</f>
        <v>Gerard Cutright</v>
      </c>
      <c r="D10" s="312" t="str">
        <f>IF(LEN(Projects!D11)&gt;0,Projects!D11,"")</f>
        <v>Lakehead University</v>
      </c>
      <c r="E10" s="311" t="str">
        <f>IF(LEN(Projects!F11)&gt;0,Projects!F11,"")</f>
        <v/>
      </c>
      <c r="F10" s="313" t="str">
        <f>IF(LEN($K$1)&gt;0,IF(AND(LEN(D10)&gt;0,VLOOKUP($K$1,Markers!A:D,3,FALSE)='Marker Project - template'!D10),"SAME ORGANIZATION",IF(ISNA(VLOOKUP(A10,Projects!A:G,5,FALSE)),"",IF(VLOOKUP(A10,Projects!A:G,7,FALSE)='Marker Project - template'!$K$1,"MENTOR",""))),"")</f>
        <v/>
      </c>
      <c r="G10" s="314"/>
    </row>
    <row r="11" spans="1:11" x14ac:dyDescent="0.25">
      <c r="A11" s="77">
        <v>10</v>
      </c>
      <c r="B11" s="311" t="str">
        <f>Projects!B12</f>
        <v>Project 10</v>
      </c>
      <c r="C11" s="311" t="str">
        <f>IF(LEN(Projects!C12)&gt;0,Projects!C12,"")</f>
        <v>Rueben Dagenhart</v>
      </c>
      <c r="D11" s="312" t="str">
        <f>IF(LEN(Projects!D12)&gt;0,Projects!D12,"")</f>
        <v>McMaster University</v>
      </c>
      <c r="E11" s="311" t="str">
        <f>IF(LEN(Projects!F12)&gt;0,Projects!F12,"")</f>
        <v/>
      </c>
      <c r="F11" s="313" t="str">
        <f>IF(LEN($K$1)&gt;0,IF(AND(LEN(D11)&gt;0,VLOOKUP($K$1,Markers!A:D,3,FALSE)='Marker Project - template'!D11),"SAME ORGANIZATION",IF(ISNA(VLOOKUP(A11,Projects!A:G,5,FALSE)),"",IF(VLOOKUP(A11,Projects!A:G,7,FALSE)='Marker Project - template'!$K$1,"MENTOR",""))),"")</f>
        <v/>
      </c>
      <c r="G11" s="314"/>
    </row>
    <row r="12" spans="1:11" x14ac:dyDescent="0.25">
      <c r="A12" s="77">
        <v>11</v>
      </c>
      <c r="B12" s="311" t="str">
        <f>Projects!B13</f>
        <v>Project 11</v>
      </c>
      <c r="C12" s="311" t="str">
        <f>IF(LEN(Projects!C13)&gt;0,Projects!C13,"")</f>
        <v>Mariella Seibel</v>
      </c>
      <c r="D12" s="312" t="str">
        <f>IF(LEN(Projects!D13)&gt;0,Projects!D13,"")</f>
        <v>Redeemer University</v>
      </c>
      <c r="E12" s="311" t="str">
        <f>IF(LEN(Projects!F13)&gt;0,Projects!F13,"")</f>
        <v/>
      </c>
      <c r="F12" s="313" t="str">
        <f>IF(LEN($K$1)&gt;0,IF(AND(LEN(D12)&gt;0,VLOOKUP($K$1,Markers!A:D,3,FALSE)='Marker Project - template'!D12),"SAME ORGANIZATION",IF(ISNA(VLOOKUP(A12,Projects!A:G,5,FALSE)),"",IF(VLOOKUP(A12,Projects!A:G,7,FALSE)='Marker Project - template'!$K$1,"MENTOR",""))),"")</f>
        <v/>
      </c>
      <c r="G12" s="314"/>
    </row>
    <row r="13" spans="1:11" x14ac:dyDescent="0.25">
      <c r="A13" s="77">
        <v>12</v>
      </c>
      <c r="B13" s="311" t="str">
        <f>Projects!B14</f>
        <v>Project 12</v>
      </c>
      <c r="C13" s="311" t="str">
        <f>IF(LEN(Projects!C14)&gt;0,Projects!C14,"")</f>
        <v>Shanta Monterrosa</v>
      </c>
      <c r="D13" s="312" t="str">
        <f>IF(LEN(Projects!D14)&gt;0,Projects!D14,"")</f>
        <v>Athabasca University</v>
      </c>
      <c r="E13" s="311" t="str">
        <f>IF(LEN(Projects!F14)&gt;0,Projects!F14,"")</f>
        <v/>
      </c>
      <c r="F13" s="313" t="str">
        <f>IF(LEN($K$1)&gt;0,IF(AND(LEN(D13)&gt;0,VLOOKUP($K$1,Markers!A:D,3,FALSE)='Marker Project - template'!D13),"SAME ORGANIZATION",IF(ISNA(VLOOKUP(A13,Projects!A:G,5,FALSE)),"",IF(VLOOKUP(A13,Projects!A:G,7,FALSE)='Marker Project - template'!$K$1,"MENTOR",""))),"")</f>
        <v/>
      </c>
      <c r="G13" s="314"/>
    </row>
    <row r="14" spans="1:11" x14ac:dyDescent="0.25">
      <c r="A14" s="77">
        <v>13</v>
      </c>
      <c r="B14" s="311" t="str">
        <f>Projects!B15</f>
        <v>Project 13</v>
      </c>
      <c r="C14" s="311" t="str">
        <f>IF(LEN(Projects!C15)&gt;0,Projects!C15,"")</f>
        <v>Danica Lando</v>
      </c>
      <c r="D14" s="312" t="str">
        <f>IF(LEN(Projects!D15)&gt;0,Projects!D15,"")</f>
        <v>Capilano University*</v>
      </c>
      <c r="E14" s="311" t="str">
        <f>IF(LEN(Projects!F15)&gt;0,Projects!F15,"")</f>
        <v/>
      </c>
      <c r="F14" s="313" t="str">
        <f>IF(LEN($K$1)&gt;0,IF(AND(LEN(D14)&gt;0,VLOOKUP($K$1,Markers!A:D,3,FALSE)='Marker Project - template'!D14),"SAME ORGANIZATION",IF(ISNA(VLOOKUP(A14,Projects!A:G,5,FALSE)),"",IF(VLOOKUP(A14,Projects!A:G,7,FALSE)='Marker Project - template'!$K$1,"MENTOR",""))),"")</f>
        <v/>
      </c>
      <c r="G14" s="314"/>
    </row>
    <row r="15" spans="1:11" x14ac:dyDescent="0.25">
      <c r="A15" s="77">
        <v>14</v>
      </c>
      <c r="B15" s="311" t="str">
        <f>Projects!B16</f>
        <v>Project 14</v>
      </c>
      <c r="C15" s="311" t="str">
        <f>IF(LEN(Projects!C16)&gt;0,Projects!C16,"")</f>
        <v>Roger Richart</v>
      </c>
      <c r="D15" s="312" t="str">
        <f>IF(LEN(Projects!D16)&gt;0,Projects!D16,"")</f>
        <v>Cégep de Baie-Comeau</v>
      </c>
      <c r="E15" s="311" t="str">
        <f>IF(LEN(Projects!F16)&gt;0,Projects!F16,"")</f>
        <v/>
      </c>
      <c r="F15" s="313" t="str">
        <f>IF(LEN($K$1)&gt;0,IF(AND(LEN(D15)&gt;0,VLOOKUP($K$1,Markers!A:D,3,FALSE)='Marker Project - template'!D15),"SAME ORGANIZATION",IF(ISNA(VLOOKUP(A15,Projects!A:G,5,FALSE)),"",IF(VLOOKUP(A15,Projects!A:G,7,FALSE)='Marker Project - template'!$K$1,"MENTOR",""))),"")</f>
        <v/>
      </c>
      <c r="G15" s="314"/>
    </row>
    <row r="16" spans="1:11" x14ac:dyDescent="0.25">
      <c r="A16" s="77">
        <v>15</v>
      </c>
      <c r="B16" s="311" t="str">
        <f>Projects!B17</f>
        <v>Project 15</v>
      </c>
      <c r="C16" s="311" t="str">
        <f>IF(LEN(Projects!C17)&gt;0,Projects!C17,"")</f>
        <v>Letisha Gulick</v>
      </c>
      <c r="D16" s="312" t="str">
        <f>IF(LEN(Projects!D17)&gt;0,Projects!D17,"")</f>
        <v>Cégep de l’Outaouais</v>
      </c>
      <c r="E16" s="311" t="str">
        <f>IF(LEN(Projects!F17)&gt;0,Projects!F17,"")</f>
        <v/>
      </c>
      <c r="F16" s="313" t="str">
        <f>IF(LEN($K$1)&gt;0,IF(AND(LEN(D16)&gt;0,VLOOKUP($K$1,Markers!A:D,3,FALSE)='Marker Project - template'!D16),"SAME ORGANIZATION",IF(ISNA(VLOOKUP(A16,Projects!A:G,5,FALSE)),"",IF(VLOOKUP(A16,Projects!A:G,7,FALSE)='Marker Project - template'!$K$1,"MENTOR",""))),"")</f>
        <v/>
      </c>
      <c r="G16" s="314"/>
    </row>
    <row r="17" spans="1:7" x14ac:dyDescent="0.25">
      <c r="A17" s="77">
        <v>16</v>
      </c>
      <c r="B17" s="311" t="str">
        <f>Projects!B18</f>
        <v>Project 16</v>
      </c>
      <c r="C17" s="311" t="str">
        <f>IF(LEN(Projects!C18)&gt;0,Projects!C18,"")</f>
        <v>Terica Cathcart</v>
      </c>
      <c r="D17" s="312" t="str">
        <f>IF(LEN(Projects!D18)&gt;0,Projects!D18,"")</f>
        <v>Cégep de Sorel-Tracy</v>
      </c>
      <c r="E17" s="311" t="str">
        <f>IF(LEN(Projects!F18)&gt;0,Projects!F18,"")</f>
        <v/>
      </c>
      <c r="F17" s="313" t="str">
        <f>IF(LEN($K$1)&gt;0,IF(AND(LEN(D17)&gt;0,VLOOKUP($K$1,Markers!A:D,3,FALSE)='Marker Project - template'!D17),"SAME ORGANIZATION",IF(ISNA(VLOOKUP(A17,Projects!A:G,5,FALSE)),"",IF(VLOOKUP(A17,Projects!A:G,7,FALSE)='Marker Project - template'!$K$1,"MENTOR",""))),"")</f>
        <v/>
      </c>
      <c r="G17" s="314"/>
    </row>
    <row r="18" spans="1:7" x14ac:dyDescent="0.25">
      <c r="A18" s="77">
        <v>17</v>
      </c>
      <c r="B18" s="311" t="str">
        <f>Projects!B19</f>
        <v>Project 17</v>
      </c>
      <c r="C18" s="311" t="str">
        <f>IF(LEN(Projects!C19)&gt;0,Projects!C19,"")</f>
        <v>Cecilia Argueta</v>
      </c>
      <c r="D18" s="312" t="str">
        <f>IF(LEN(Projects!D19)&gt;0,Projects!D19,"")</f>
        <v>Cégep Marie-Victorin</v>
      </c>
      <c r="E18" s="311" t="str">
        <f>IF(LEN(Projects!F19)&gt;0,Projects!F19,"")</f>
        <v/>
      </c>
      <c r="F18" s="313" t="str">
        <f>IF(LEN($K$1)&gt;0,IF(AND(LEN(D18)&gt;0,VLOOKUP($K$1,Markers!A:D,3,FALSE)='Marker Project - template'!D18),"SAME ORGANIZATION",IF(ISNA(VLOOKUP(A18,Projects!A:G,5,FALSE)),"",IF(VLOOKUP(A18,Projects!A:G,7,FALSE)='Marker Project - template'!$K$1,"MENTOR",""))),"")</f>
        <v/>
      </c>
      <c r="G18" s="314"/>
    </row>
    <row r="19" spans="1:7" x14ac:dyDescent="0.25">
      <c r="A19" s="77">
        <v>18</v>
      </c>
      <c r="B19" s="311" t="str">
        <f>Projects!B20</f>
        <v>Project 18</v>
      </c>
      <c r="C19" s="311" t="str">
        <f>IF(LEN(Projects!C20)&gt;0,Projects!C20,"")</f>
        <v>Janella Heeter</v>
      </c>
      <c r="D19" s="312" t="str">
        <f>IF(LEN(Projects!D20)&gt;0,Projects!D20,"")</f>
        <v>Concordia University</v>
      </c>
      <c r="E19" s="311" t="str">
        <f>IF(LEN(Projects!F20)&gt;0,Projects!F20,"")</f>
        <v/>
      </c>
      <c r="F19" s="313" t="str">
        <f>IF(LEN($K$1)&gt;0,IF(AND(LEN(D19)&gt;0,VLOOKUP($K$1,Markers!A:D,3,FALSE)='Marker Project - template'!D19),"SAME ORGANIZATION",IF(ISNA(VLOOKUP(A19,Projects!A:G,5,FALSE)),"",IF(VLOOKUP(A19,Projects!A:G,7,FALSE)='Marker Project - template'!$K$1,"MENTOR",""))),"")</f>
        <v/>
      </c>
      <c r="G19" s="314"/>
    </row>
    <row r="20" spans="1:7" x14ac:dyDescent="0.25">
      <c r="A20" s="77">
        <v>19</v>
      </c>
      <c r="B20" s="311" t="str">
        <f>Projects!B21</f>
        <v>Project 19</v>
      </c>
      <c r="C20" s="311" t="str">
        <f>IF(LEN(Projects!C21)&gt;0,Projects!C21,"")</f>
        <v>Reta Godard</v>
      </c>
      <c r="D20" s="312" t="str">
        <f>IF(LEN(Projects!D21)&gt;0,Projects!D21,"")</f>
        <v>Dalhousie University</v>
      </c>
      <c r="E20" s="311" t="str">
        <f>IF(LEN(Projects!F21)&gt;0,Projects!F21,"")</f>
        <v/>
      </c>
      <c r="F20" s="313" t="str">
        <f>IF(LEN($K$1)&gt;0,IF(AND(LEN(D20)&gt;0,VLOOKUP($K$1,Markers!A:D,3,FALSE)='Marker Project - template'!D20),"SAME ORGANIZATION",IF(ISNA(VLOOKUP(A20,Projects!A:G,5,FALSE)),"",IF(VLOOKUP(A20,Projects!A:G,7,FALSE)='Marker Project - template'!$K$1,"MENTOR",""))),"")</f>
        <v/>
      </c>
      <c r="G20" s="314"/>
    </row>
    <row r="21" spans="1:7" x14ac:dyDescent="0.25">
      <c r="A21" s="77">
        <v>20</v>
      </c>
      <c r="B21" s="311" t="str">
        <f>Projects!B22</f>
        <v>Project 20</v>
      </c>
      <c r="C21" s="311" t="str">
        <f>IF(LEN(Projects!C22)&gt;0,Projects!C22,"")</f>
        <v>Irene Eagles</v>
      </c>
      <c r="D21" s="312" t="str">
        <f>IF(LEN(Projects!D22)&gt;0,Projects!D22,"")</f>
        <v>George Brown College</v>
      </c>
      <c r="E21" s="311" t="str">
        <f>IF(LEN(Projects!F22)&gt;0,Projects!F22,"")</f>
        <v/>
      </c>
      <c r="F21" s="313" t="str">
        <f>IF(LEN($K$1)&gt;0,IF(AND(LEN(D21)&gt;0,VLOOKUP($K$1,Markers!A:D,3,FALSE)='Marker Project - template'!D21),"SAME ORGANIZATION",IF(ISNA(VLOOKUP(A21,Projects!A:G,5,FALSE)),"",IF(VLOOKUP(A21,Projects!A:G,7,FALSE)='Marker Project - template'!$K$1,"MENTOR",""))),"")</f>
        <v/>
      </c>
      <c r="G21" s="314"/>
    </row>
    <row r="22" spans="1:7" x14ac:dyDescent="0.25">
      <c r="A22" s="77">
        <v>21</v>
      </c>
      <c r="B22" s="311" t="str">
        <f>Projects!B23</f>
        <v>Project 21</v>
      </c>
      <c r="C22" s="311" t="str">
        <f>IF(LEN(Projects!C23)&gt;0,Projects!C23,"")</f>
        <v>Christin Mabrey</v>
      </c>
      <c r="D22" s="312" t="str">
        <f>IF(LEN(Projects!D23)&gt;0,Projects!D23,"")</f>
        <v>Medicine Hat College</v>
      </c>
      <c r="E22" s="311" t="str">
        <f>IF(LEN(Projects!F23)&gt;0,Projects!F23,"")</f>
        <v/>
      </c>
      <c r="F22" s="313" t="str">
        <f>IF(LEN($K$1)&gt;0,IF(AND(LEN(D22)&gt;0,VLOOKUP($K$1,Markers!A:D,3,FALSE)='Marker Project - template'!D22),"SAME ORGANIZATION",IF(ISNA(VLOOKUP(A22,Projects!A:G,5,FALSE)),"",IF(VLOOKUP(A22,Projects!A:G,7,FALSE)='Marker Project - template'!$K$1,"MENTOR",""))),"")</f>
        <v/>
      </c>
      <c r="G22" s="314"/>
    </row>
    <row r="23" spans="1:7" x14ac:dyDescent="0.25">
      <c r="A23" s="77">
        <v>22</v>
      </c>
      <c r="B23" s="311" t="str">
        <f>Projects!B24</f>
        <v>Project 22</v>
      </c>
      <c r="C23" s="311" t="str">
        <f>IF(LEN(Projects!C24)&gt;0,Projects!C24,"")</f>
        <v>Jinny Dilorenzo</v>
      </c>
      <c r="D23" s="312" t="str">
        <f>IF(LEN(Projects!D24)&gt;0,Projects!D24,"")</f>
        <v>Nipissing University</v>
      </c>
      <c r="E23" s="311" t="str">
        <f>IF(LEN(Projects!F24)&gt;0,Projects!F24,"")</f>
        <v/>
      </c>
      <c r="F23" s="313" t="str">
        <f>IF(LEN($K$1)&gt;0,IF(AND(LEN(D23)&gt;0,VLOOKUP($K$1,Markers!A:D,3,FALSE)='Marker Project - template'!D23),"SAME ORGANIZATION",IF(ISNA(VLOOKUP(A23,Projects!A:G,5,FALSE)),"",IF(VLOOKUP(A23,Projects!A:G,7,FALSE)='Marker Project - template'!$K$1,"MENTOR",""))),"")</f>
        <v/>
      </c>
      <c r="G23" s="314"/>
    </row>
    <row r="24" spans="1:7" x14ac:dyDescent="0.25">
      <c r="A24" s="77">
        <v>23</v>
      </c>
      <c r="B24" s="311" t="str">
        <f>Projects!B25</f>
        <v>Project 23</v>
      </c>
      <c r="C24" s="311" t="str">
        <f>IF(LEN(Projects!C25)&gt;0,Projects!C25,"")</f>
        <v>Yajaira Abbe</v>
      </c>
      <c r="D24" s="312" t="str">
        <f>IF(LEN(Projects!D25)&gt;0,Projects!D25,"")</f>
        <v>North Island College</v>
      </c>
      <c r="E24" s="311" t="str">
        <f>IF(LEN(Projects!F25)&gt;0,Projects!F25,"")</f>
        <v/>
      </c>
      <c r="F24" s="313" t="str">
        <f>IF(LEN($K$1)&gt;0,IF(AND(LEN(D24)&gt;0,VLOOKUP($K$1,Markers!A:D,3,FALSE)='Marker Project - template'!D24),"SAME ORGANIZATION",IF(ISNA(VLOOKUP(A24,Projects!A:G,5,FALSE)),"",IF(VLOOKUP(A24,Projects!A:G,7,FALSE)='Marker Project - template'!$K$1,"MENTOR",""))),"")</f>
        <v/>
      </c>
      <c r="G24" s="314"/>
    </row>
    <row r="25" spans="1:7" x14ac:dyDescent="0.25">
      <c r="A25" s="77">
        <v>24</v>
      </c>
      <c r="B25" s="311" t="str">
        <f>Projects!B26</f>
        <v>Project 24</v>
      </c>
      <c r="C25" s="311" t="str">
        <f>IF(LEN(Projects!C26)&gt;0,Projects!C26,"")</f>
        <v>Misti Joslyn</v>
      </c>
      <c r="D25" s="312" t="str">
        <f>IF(LEN(Projects!D26)&gt;0,Projects!D26,"")</f>
        <v>St. Lawrence College</v>
      </c>
      <c r="E25" s="311" t="str">
        <f>IF(LEN(Projects!F26)&gt;0,Projects!F26,"")</f>
        <v/>
      </c>
      <c r="F25" s="313" t="str">
        <f>IF(LEN($K$1)&gt;0,IF(AND(LEN(D25)&gt;0,VLOOKUP($K$1,Markers!A:D,3,FALSE)='Marker Project - template'!D25),"SAME ORGANIZATION",IF(ISNA(VLOOKUP(A25,Projects!A:G,5,FALSE)),"",IF(VLOOKUP(A25,Projects!A:G,7,FALSE)='Marker Project - template'!$K$1,"MENTOR",""))),"")</f>
        <v/>
      </c>
      <c r="G25" s="314"/>
    </row>
    <row r="26" spans="1:7" x14ac:dyDescent="0.25">
      <c r="A26" s="77">
        <v>25</v>
      </c>
      <c r="B26" s="311" t="str">
        <f>Projects!B27</f>
        <v>Project 25</v>
      </c>
      <c r="C26" s="311" t="str">
        <f>IF(LEN(Projects!C27)&gt;0,Projects!C27,"")</f>
        <v>Norbert Trice</v>
      </c>
      <c r="D26" s="312" t="str">
        <f>IF(LEN(Projects!D27)&gt;0,Projects!D27,"")</f>
        <v>University of Guelph</v>
      </c>
      <c r="E26" s="311" t="str">
        <f>IF(LEN(Projects!F27)&gt;0,Projects!F27,"")</f>
        <v/>
      </c>
      <c r="F26" s="313" t="str">
        <f>IF(LEN($K$1)&gt;0,IF(AND(LEN(D26)&gt;0,VLOOKUP($K$1,Markers!A:D,3,FALSE)='Marker Project - template'!D26),"SAME ORGANIZATION",IF(ISNA(VLOOKUP(A26,Projects!A:G,5,FALSE)),"",IF(VLOOKUP(A26,Projects!A:G,7,FALSE)='Marker Project - template'!$K$1,"MENTOR",""))),"")</f>
        <v/>
      </c>
      <c r="G26" s="314"/>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A713-8927-4C32-BEFE-17571053CFC1}">
  <sheetPr codeName="Sheet25">
    <tabColor theme="5" tint="0.79998168889431442"/>
  </sheetPr>
  <dimension ref="A1:F12"/>
  <sheetViews>
    <sheetView zoomScale="145" zoomScaleNormal="145" workbookViewId="0">
      <pane ySplit="1" topLeftCell="A2" activePane="bottomLeft" state="frozen"/>
      <selection activeCell="A10" sqref="A10:K10"/>
      <selection pane="bottomLeft" activeCell="A10" sqref="A10:K10"/>
    </sheetView>
  </sheetViews>
  <sheetFormatPr defaultColWidth="9.140625" defaultRowHeight="15" x14ac:dyDescent="0.25"/>
  <cols>
    <col min="1" max="1" width="14.5703125" style="4" customWidth="1"/>
    <col min="2" max="2" width="34.85546875" customWidth="1"/>
    <col min="3" max="3" width="34.28515625" style="126" customWidth="1"/>
    <col min="4" max="4" width="2.28515625" customWidth="1"/>
    <col min="5" max="5" width="18" customWidth="1"/>
    <col min="6" max="6" width="23" customWidth="1"/>
  </cols>
  <sheetData>
    <row r="1" spans="1:6" ht="60" x14ac:dyDescent="0.25">
      <c r="A1" s="316" t="s">
        <v>206</v>
      </c>
      <c r="B1" s="91" t="s">
        <v>319</v>
      </c>
      <c r="C1" s="317" t="s">
        <v>320</v>
      </c>
      <c r="D1" s="310"/>
      <c r="E1" s="112" t="s">
        <v>182</v>
      </c>
      <c r="F1" s="77"/>
    </row>
    <row r="2" spans="1:6" ht="15.75" customHeight="1" x14ac:dyDescent="0.25">
      <c r="A2" s="318">
        <v>1</v>
      </c>
      <c r="B2" s="318" t="str">
        <f>IF(Keywords!C3&gt;0,Keywords!C3,"")</f>
        <v>Keyword 1</v>
      </c>
      <c r="C2" s="314"/>
      <c r="D2" s="310"/>
      <c r="E2" s="104" t="s">
        <v>181</v>
      </c>
      <c r="F2" s="315"/>
    </row>
    <row r="3" spans="1:6" x14ac:dyDescent="0.25">
      <c r="A3" s="318">
        <v>2</v>
      </c>
      <c r="B3" s="318" t="str">
        <f>IF(Keywords!C4&gt;0,Keywords!C4,"")</f>
        <v>Keyword 2</v>
      </c>
      <c r="C3" s="314"/>
    </row>
    <row r="4" spans="1:6" x14ac:dyDescent="0.25">
      <c r="A4" s="318">
        <v>3</v>
      </c>
      <c r="B4" s="318" t="str">
        <f>IF(Keywords!C5&gt;0,Keywords!C5,"")</f>
        <v>Keyword 3</v>
      </c>
      <c r="C4" s="314"/>
    </row>
    <row r="5" spans="1:6" x14ac:dyDescent="0.25">
      <c r="A5" s="318">
        <v>4</v>
      </c>
      <c r="B5" s="318" t="str">
        <f>IF(Keywords!C6&gt;0,Keywords!C6,"")</f>
        <v>Keyword 4</v>
      </c>
      <c r="C5" s="314"/>
    </row>
    <row r="6" spans="1:6" x14ac:dyDescent="0.25">
      <c r="A6" s="318">
        <v>5</v>
      </c>
      <c r="B6" s="318" t="str">
        <f>IF(Keywords!C7&gt;0,Keywords!C7,"")</f>
        <v>Keyword 5</v>
      </c>
      <c r="C6" s="314"/>
    </row>
    <row r="7" spans="1:6" x14ac:dyDescent="0.25">
      <c r="A7" s="318">
        <v>6</v>
      </c>
      <c r="B7" s="318" t="str">
        <f>IF(Keywords!C8&gt;0,Keywords!C8,"")</f>
        <v>Keyword 6</v>
      </c>
      <c r="C7" s="314"/>
    </row>
    <row r="8" spans="1:6" x14ac:dyDescent="0.25">
      <c r="A8" s="318">
        <v>7</v>
      </c>
      <c r="B8" s="318" t="str">
        <f>IF(Keywords!C9&gt;0,Keywords!C9,"")</f>
        <v>Keyword 7</v>
      </c>
      <c r="C8" s="314"/>
    </row>
    <row r="9" spans="1:6" x14ac:dyDescent="0.25">
      <c r="A9" s="318">
        <v>8</v>
      </c>
      <c r="B9" s="318" t="str">
        <f>IF(Keywords!C10&gt;0,Keywords!C10,"")</f>
        <v>Keyword 8</v>
      </c>
      <c r="C9" s="314"/>
    </row>
    <row r="10" spans="1:6" x14ac:dyDescent="0.25">
      <c r="A10" s="318">
        <v>9</v>
      </c>
      <c r="B10" s="318" t="str">
        <f>IF(Keywords!C11&gt;0,Keywords!C11,"")</f>
        <v>Keyword 9</v>
      </c>
      <c r="C10" s="314"/>
    </row>
    <row r="11" spans="1:6" x14ac:dyDescent="0.25">
      <c r="A11" s="318">
        <v>10</v>
      </c>
      <c r="B11" s="318" t="str">
        <f>IF(Keywords!C12&gt;0,Keywords!C12,"")</f>
        <v>Keyword 10</v>
      </c>
      <c r="C11" s="314"/>
    </row>
    <row r="12" spans="1:6" x14ac:dyDescent="0.25">
      <c r="A12" s="318">
        <v>11</v>
      </c>
      <c r="B12" s="318" t="str">
        <f>IF(Keywords!C13&gt;0,Keywords!C13,"")</f>
        <v>Keyword 11</v>
      </c>
      <c r="C12" s="314"/>
    </row>
  </sheetData>
  <autoFilter ref="C1:C12"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FD02-FA63-4855-A640-2F1E2487180F}">
  <sheetPr codeName="Sheet29">
    <tabColor theme="5" tint="0.79998168889431442"/>
  </sheetPr>
  <dimension ref="A1:C9"/>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14.42578125" customWidth="1"/>
    <col min="2" max="2" width="94.5703125" customWidth="1"/>
    <col min="3" max="3" width="30.42578125" customWidth="1"/>
  </cols>
  <sheetData>
    <row r="1" spans="1:3" x14ac:dyDescent="0.25">
      <c r="A1" s="319" t="str">
        <f>"Attached are score and comment sheets for submissions to  the "&amp;'Competition Parameters'!C7&amp;" competition."</f>
        <v>Attached are score and comment sheets for submissions to  the AN EXCITING PROGRAM/COMPETITION competition.</v>
      </c>
      <c r="B1" s="319"/>
      <c r="C1" s="319"/>
    </row>
    <row r="2" spans="1:3" ht="78" customHeight="1" x14ac:dyDescent="0.25">
      <c r="A2" s="320" t="s">
        <v>321</v>
      </c>
      <c r="B2" s="320"/>
      <c r="C2" s="320"/>
    </row>
    <row r="3" spans="1:3" ht="30" customHeight="1" x14ac:dyDescent="0.25">
      <c r="A3" s="320" t="s">
        <v>322</v>
      </c>
      <c r="B3" s="320"/>
      <c r="C3" s="320"/>
    </row>
    <row r="4" spans="1:3" x14ac:dyDescent="0.25">
      <c r="A4" s="321" t="str">
        <f>"For more information see: " &amp; 'Competition Parameters'!C9</f>
        <v xml:space="preserve">For more information see: </v>
      </c>
      <c r="B4" s="321"/>
      <c r="C4" s="321"/>
    </row>
    <row r="5" spans="1:3" x14ac:dyDescent="0.25">
      <c r="A5" s="322" t="s">
        <v>323</v>
      </c>
      <c r="B5" s="322"/>
      <c r="C5" s="322"/>
    </row>
    <row r="6" spans="1:3" ht="12" customHeight="1" x14ac:dyDescent="0.25">
      <c r="A6" s="34" t="s">
        <v>324</v>
      </c>
      <c r="B6" s="323">
        <f>COUNTIF(B8:B9,"&lt;&gt;"&amp;"")</f>
        <v>0</v>
      </c>
      <c r="C6" s="55"/>
    </row>
    <row r="7" spans="1:3" x14ac:dyDescent="0.25">
      <c r="A7" s="324" t="s">
        <v>325</v>
      </c>
      <c r="B7" s="325" t="s">
        <v>326</v>
      </c>
      <c r="C7" s="326" t="s">
        <v>327</v>
      </c>
    </row>
    <row r="8" spans="1:3" x14ac:dyDescent="0.25">
      <c r="A8" s="314"/>
      <c r="B8" s="327"/>
      <c r="C8" s="328"/>
    </row>
    <row r="9" spans="1:3" x14ac:dyDescent="0.25">
      <c r="A9" s="314"/>
      <c r="B9" s="327"/>
      <c r="C9" s="328"/>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6105-6F57-43F0-9277-E19409332D6E}">
  <sheetPr codeName="Sheet8">
    <tabColor theme="5" tint="0.79998168889431442"/>
  </sheetPr>
  <dimension ref="A1:K26"/>
  <sheetViews>
    <sheetView topLeftCell="A7" zoomScale="145" zoomScaleNormal="145" workbookViewId="0">
      <selection activeCell="A10" sqref="A10:K10"/>
    </sheetView>
  </sheetViews>
  <sheetFormatPr defaultRowHeight="15" x14ac:dyDescent="0.25"/>
  <cols>
    <col min="1" max="1" width="17.28515625" customWidth="1"/>
    <col min="3" max="3" width="14" customWidth="1"/>
    <col min="5" max="5" width="11" bestFit="1" customWidth="1"/>
  </cols>
  <sheetData>
    <row r="1" spans="1:11" ht="18.75" x14ac:dyDescent="0.3">
      <c r="A1" s="206" t="s">
        <v>328</v>
      </c>
      <c r="B1" s="329" t="str">
        <f>'Competition Parameters'!C7</f>
        <v>AN EXCITING PROGRAM/COMPETITION</v>
      </c>
      <c r="C1" s="329"/>
      <c r="D1" s="329"/>
      <c r="E1" s="329"/>
      <c r="F1" s="329"/>
      <c r="G1" s="329"/>
      <c r="H1" s="176" t="s">
        <v>329</v>
      </c>
      <c r="I1" s="70"/>
      <c r="J1" s="70"/>
      <c r="K1" s="330"/>
    </row>
    <row r="2" spans="1:11" x14ac:dyDescent="0.25">
      <c r="A2" s="173" t="s">
        <v>182</v>
      </c>
      <c r="B2" s="331" t="e">
        <f>VLOOKUP(B3,Markers!A:B,2,FALSE)</f>
        <v>#N/A</v>
      </c>
      <c r="C2" s="332"/>
      <c r="D2" s="332"/>
      <c r="E2" s="332"/>
      <c r="F2" s="333"/>
      <c r="G2" s="334" t="s">
        <v>330</v>
      </c>
      <c r="H2" s="334"/>
      <c r="I2" s="334"/>
      <c r="J2" s="334"/>
      <c r="K2" s="335"/>
    </row>
    <row r="3" spans="1:11" ht="15.75" thickBot="1" x14ac:dyDescent="0.3">
      <c r="A3" s="336" t="s">
        <v>181</v>
      </c>
      <c r="B3" s="337"/>
      <c r="G3" s="338"/>
      <c r="H3" s="338"/>
      <c r="I3" s="338"/>
      <c r="J3" s="338"/>
      <c r="K3" s="339"/>
    </row>
    <row r="4" spans="1:11" ht="15.75" thickBot="1" x14ac:dyDescent="0.3">
      <c r="A4" s="340" t="s">
        <v>325</v>
      </c>
      <c r="B4" s="341"/>
      <c r="C4" s="342" t="s">
        <v>331</v>
      </c>
      <c r="D4" s="342"/>
      <c r="E4" s="341"/>
      <c r="F4" s="340"/>
      <c r="G4" s="340"/>
      <c r="H4" s="340"/>
      <c r="I4" s="340"/>
      <c r="J4" s="340"/>
      <c r="K4" s="340"/>
    </row>
    <row r="5" spans="1:11" ht="15.75" thickBot="1" x14ac:dyDescent="0.3">
      <c r="A5" s="343" t="s">
        <v>332</v>
      </c>
      <c r="B5" s="344" t="e">
        <f>VLOOKUP(B4,Projects!A:B,2,FALSE)</f>
        <v>#N/A</v>
      </c>
      <c r="C5" s="344"/>
      <c r="D5" s="344"/>
      <c r="E5" s="344"/>
      <c r="F5" s="344"/>
      <c r="G5" s="344"/>
      <c r="H5" s="344"/>
      <c r="I5" s="344"/>
      <c r="J5" s="344"/>
      <c r="K5" s="345"/>
    </row>
    <row r="6" spans="1:11" ht="15.75" thickBot="1" x14ac:dyDescent="0.3">
      <c r="A6" s="346" t="s">
        <v>333</v>
      </c>
      <c r="B6" s="347"/>
      <c r="C6" s="347"/>
      <c r="D6" s="347"/>
      <c r="E6" s="347"/>
      <c r="F6" s="347"/>
      <c r="G6" s="347"/>
      <c r="H6" s="347"/>
      <c r="I6" s="347"/>
      <c r="J6" s="348"/>
      <c r="K6" s="349"/>
    </row>
    <row r="7" spans="1:11" x14ac:dyDescent="0.25">
      <c r="A7" s="350" t="s">
        <v>334</v>
      </c>
      <c r="B7" s="351"/>
      <c r="C7" s="351"/>
      <c r="D7" s="351"/>
      <c r="E7" s="351"/>
      <c r="F7" s="351"/>
      <c r="G7" s="351"/>
      <c r="H7" s="351"/>
      <c r="I7" s="351"/>
      <c r="J7" s="351"/>
      <c r="K7" s="352"/>
    </row>
    <row r="8" spans="1:11" ht="16.5" thickBot="1" x14ac:dyDescent="0.3">
      <c r="A8" s="38" t="s">
        <v>335</v>
      </c>
      <c r="B8" s="353"/>
      <c r="C8" s="354"/>
      <c r="D8" s="39" t="s">
        <v>336</v>
      </c>
      <c r="E8" s="353"/>
      <c r="F8" s="354"/>
      <c r="G8" s="39" t="s">
        <v>337</v>
      </c>
      <c r="H8" s="353"/>
      <c r="I8" s="354"/>
      <c r="J8" s="355" t="str">
        <f>IF(OR(AND( LEN(B8)&gt;0,LEN(E8)&gt;0),AND(LEN(B8)&gt;0,LEN(H8)&gt;0),AND(LEN(E8)&gt;0,LEN(H8)&gt;0)),"Only check one box","")</f>
        <v/>
      </c>
      <c r="K8" s="356"/>
    </row>
    <row r="9" spans="1:11" x14ac:dyDescent="0.25">
      <c r="A9" s="357" t="s">
        <v>338</v>
      </c>
      <c r="B9" s="357"/>
      <c r="C9" s="357"/>
      <c r="D9" s="357"/>
      <c r="E9" s="357"/>
      <c r="F9" s="357"/>
      <c r="G9" s="357"/>
      <c r="H9" s="357"/>
      <c r="I9" s="357"/>
      <c r="J9" s="357"/>
      <c r="K9" s="357"/>
    </row>
    <row r="10" spans="1:11" ht="75.75" customHeight="1" thickBot="1" x14ac:dyDescent="0.3">
      <c r="A10" s="358"/>
      <c r="B10" s="359"/>
      <c r="C10" s="359"/>
      <c r="D10" s="359"/>
      <c r="E10" s="359"/>
      <c r="F10" s="359"/>
      <c r="G10" s="359"/>
      <c r="H10" s="359"/>
      <c r="I10" s="359"/>
      <c r="J10" s="359"/>
      <c r="K10" s="360"/>
    </row>
    <row r="11" spans="1:11" ht="15.75" thickBot="1" x14ac:dyDescent="0.3">
      <c r="A11" s="361"/>
      <c r="B11" s="361"/>
      <c r="C11" s="361"/>
      <c r="D11" s="361"/>
      <c r="E11" s="361"/>
      <c r="F11" s="361"/>
      <c r="G11" s="361"/>
      <c r="H11" s="361"/>
      <c r="I11" s="361"/>
      <c r="J11" s="361"/>
      <c r="K11" s="361"/>
    </row>
    <row r="12" spans="1:11" x14ac:dyDescent="0.25">
      <c r="A12" s="362" t="s">
        <v>56</v>
      </c>
      <c r="B12" s="363">
        <v>1</v>
      </c>
      <c r="C12" s="364" t="s">
        <v>339</v>
      </c>
      <c r="D12" s="365" t="str">
        <f>VLOOKUP('Scores and Comments - template'!B12,Criteria!$A:$B,2,FALSE)</f>
        <v>Criteria 1</v>
      </c>
      <c r="E12" s="365"/>
      <c r="F12" s="365"/>
      <c r="G12" s="365"/>
      <c r="H12" s="365"/>
      <c r="I12" s="365"/>
      <c r="J12" s="365"/>
      <c r="K12" s="366"/>
    </row>
    <row r="13" spans="1:11" x14ac:dyDescent="0.25">
      <c r="A13" s="138" t="s">
        <v>287</v>
      </c>
      <c r="B13" s="367">
        <f>VLOOKUP(B12,Criteria!$A:$D,3,FALSE)</f>
        <v>1</v>
      </c>
      <c r="C13" s="181" t="s">
        <v>288</v>
      </c>
      <c r="D13" s="367">
        <f>VLOOKUP(B12,Criteria!$A:$D,4,FALSE)</f>
        <v>5</v>
      </c>
      <c r="E13" s="368" t="s">
        <v>340</v>
      </c>
      <c r="F13" s="369"/>
      <c r="G13" s="370"/>
      <c r="H13" s="371"/>
      <c r="I13" s="371"/>
      <c r="J13" s="371"/>
      <c r="K13" s="372"/>
    </row>
    <row r="14" spans="1:11" x14ac:dyDescent="0.25">
      <c r="A14" s="373" t="s">
        <v>341</v>
      </c>
      <c r="B14" s="374"/>
      <c r="C14" s="374"/>
      <c r="D14" s="374"/>
      <c r="E14" s="374"/>
      <c r="F14" s="374"/>
      <c r="G14" s="374"/>
      <c r="H14" s="374"/>
      <c r="I14" s="374"/>
      <c r="J14" s="374"/>
      <c r="K14" s="375"/>
    </row>
    <row r="15" spans="1:11" ht="75.75" customHeight="1" thickBot="1" x14ac:dyDescent="0.3">
      <c r="A15" s="358"/>
      <c r="B15" s="359"/>
      <c r="C15" s="359"/>
      <c r="D15" s="359"/>
      <c r="E15" s="359"/>
      <c r="F15" s="359"/>
      <c r="G15" s="359"/>
      <c r="H15" s="359"/>
      <c r="I15" s="359"/>
      <c r="J15" s="359"/>
      <c r="K15" s="360"/>
    </row>
    <row r="16" spans="1:11" ht="15.75" thickBot="1" x14ac:dyDescent="0.3">
      <c r="A16" s="361"/>
      <c r="B16" s="361"/>
      <c r="C16" s="361"/>
      <c r="D16" s="361"/>
      <c r="E16" s="361"/>
      <c r="F16" s="361"/>
      <c r="G16" s="361"/>
      <c r="H16" s="361"/>
      <c r="I16" s="361"/>
      <c r="J16" s="361"/>
      <c r="K16" s="361"/>
    </row>
    <row r="17" spans="1:11" x14ac:dyDescent="0.25">
      <c r="A17" s="362" t="s">
        <v>56</v>
      </c>
      <c r="B17" s="363">
        <f>B12+1</f>
        <v>2</v>
      </c>
      <c r="C17" s="364" t="s">
        <v>339</v>
      </c>
      <c r="D17" s="365" t="str">
        <f>VLOOKUP('Scores and Comments - template'!B17,Criteria!$A:$B,2,FALSE)</f>
        <v>Criteria 2</v>
      </c>
      <c r="E17" s="365"/>
      <c r="F17" s="365"/>
      <c r="G17" s="365"/>
      <c r="H17" s="365"/>
      <c r="I17" s="365"/>
      <c r="J17" s="365"/>
      <c r="K17" s="366"/>
    </row>
    <row r="18" spans="1:11" x14ac:dyDescent="0.25">
      <c r="A18" s="138" t="s">
        <v>287</v>
      </c>
      <c r="B18" s="367">
        <f>VLOOKUP(B17,Criteria!$A:$D,3,FALSE)</f>
        <v>1</v>
      </c>
      <c r="C18" s="181" t="s">
        <v>288</v>
      </c>
      <c r="D18" s="367">
        <f>VLOOKUP(B17,Criteria!$A:$D,4,FALSE)</f>
        <v>5</v>
      </c>
      <c r="E18" s="368" t="s">
        <v>340</v>
      </c>
      <c r="F18" s="369"/>
      <c r="G18" s="370"/>
      <c r="H18" s="371"/>
      <c r="I18" s="371"/>
      <c r="J18" s="371"/>
      <c r="K18" s="372"/>
    </row>
    <row r="19" spans="1:11" x14ac:dyDescent="0.25">
      <c r="A19" s="373" t="s">
        <v>341</v>
      </c>
      <c r="B19" s="374"/>
      <c r="C19" s="374"/>
      <c r="D19" s="374"/>
      <c r="E19" s="374"/>
      <c r="F19" s="374"/>
      <c r="G19" s="374"/>
      <c r="H19" s="374"/>
      <c r="I19" s="374"/>
      <c r="J19" s="374"/>
      <c r="K19" s="375"/>
    </row>
    <row r="20" spans="1:11" ht="95.1" customHeight="1" thickBot="1" x14ac:dyDescent="0.3">
      <c r="A20" s="358"/>
      <c r="B20" s="359"/>
      <c r="C20" s="359"/>
      <c r="D20" s="359"/>
      <c r="E20" s="359"/>
      <c r="F20" s="359"/>
      <c r="G20" s="359"/>
      <c r="H20" s="359"/>
      <c r="I20" s="359"/>
      <c r="J20" s="359"/>
      <c r="K20" s="360"/>
    </row>
    <row r="21" spans="1:11" ht="15.75" thickBot="1" x14ac:dyDescent="0.3">
      <c r="A21" s="361"/>
      <c r="B21" s="361"/>
      <c r="C21" s="361"/>
      <c r="D21" s="361"/>
      <c r="E21" s="361"/>
      <c r="F21" s="361"/>
      <c r="G21" s="361"/>
      <c r="H21" s="361"/>
      <c r="I21" s="361"/>
      <c r="J21" s="361"/>
      <c r="K21" s="361"/>
    </row>
    <row r="22" spans="1:11" x14ac:dyDescent="0.25">
      <c r="A22" s="362" t="s">
        <v>56</v>
      </c>
      <c r="B22" s="363">
        <f>B17+1</f>
        <v>3</v>
      </c>
      <c r="C22" s="364" t="s">
        <v>339</v>
      </c>
      <c r="D22" s="365" t="str">
        <f>VLOOKUP('Scores and Comments - template'!B22,Criteria!$A:$B,2,FALSE)</f>
        <v>Criteria 3</v>
      </c>
      <c r="E22" s="365"/>
      <c r="F22" s="365"/>
      <c r="G22" s="365"/>
      <c r="H22" s="365"/>
      <c r="I22" s="365"/>
      <c r="J22" s="365"/>
      <c r="K22" s="366"/>
    </row>
    <row r="23" spans="1:11" x14ac:dyDescent="0.25">
      <c r="A23" s="138" t="s">
        <v>287</v>
      </c>
      <c r="B23" s="367">
        <f>VLOOKUP(B22,Criteria!$A:$D,3,FALSE)</f>
        <v>1</v>
      </c>
      <c r="C23" s="181" t="s">
        <v>288</v>
      </c>
      <c r="D23" s="367">
        <f>VLOOKUP(B22,Criteria!$A:$D,4,FALSE)</f>
        <v>5</v>
      </c>
      <c r="E23" s="368" t="s">
        <v>340</v>
      </c>
      <c r="F23" s="369"/>
      <c r="G23" s="370"/>
      <c r="H23" s="371"/>
      <c r="I23" s="371"/>
      <c r="J23" s="371"/>
      <c r="K23" s="372"/>
    </row>
    <row r="24" spans="1:11" x14ac:dyDescent="0.25">
      <c r="A24" s="373" t="s">
        <v>341</v>
      </c>
      <c r="B24" s="374"/>
      <c r="C24" s="374"/>
      <c r="D24" s="374"/>
      <c r="E24" s="374"/>
      <c r="F24" s="374"/>
      <c r="G24" s="374"/>
      <c r="H24" s="374"/>
      <c r="I24" s="374"/>
      <c r="J24" s="374"/>
      <c r="K24" s="375"/>
    </row>
    <row r="25" spans="1:11" ht="95.1" customHeight="1" thickBot="1" x14ac:dyDescent="0.3">
      <c r="A25" s="358"/>
      <c r="B25" s="359"/>
      <c r="C25" s="359"/>
      <c r="D25" s="359"/>
      <c r="E25" s="359"/>
      <c r="F25" s="359"/>
      <c r="G25" s="359"/>
      <c r="H25" s="359"/>
      <c r="I25" s="359"/>
      <c r="J25" s="359"/>
      <c r="K25" s="360"/>
    </row>
    <row r="26" spans="1:11" ht="20.100000000000001" customHeight="1" x14ac:dyDescent="0.25">
      <c r="A26" s="361" t="s">
        <v>342</v>
      </c>
      <c r="B26" s="361"/>
      <c r="C26" s="361"/>
      <c r="D26" s="361"/>
      <c r="E26" s="361"/>
      <c r="F26" s="361"/>
      <c r="G26" s="361"/>
      <c r="H26" s="361"/>
      <c r="I26" s="361"/>
      <c r="J26" s="361"/>
      <c r="K26" s="361"/>
    </row>
  </sheetData>
  <mergeCells count="24">
    <mergeCell ref="A26:K26"/>
    <mergeCell ref="A20:K20"/>
    <mergeCell ref="A21:K21"/>
    <mergeCell ref="D22:K22"/>
    <mergeCell ref="G23:K23"/>
    <mergeCell ref="A24:K24"/>
    <mergeCell ref="A25:K25"/>
    <mergeCell ref="A15:K15"/>
    <mergeCell ref="A16:K16"/>
    <mergeCell ref="D17:K17"/>
    <mergeCell ref="G18:K18"/>
    <mergeCell ref="A19:K19"/>
    <mergeCell ref="A9:K9"/>
    <mergeCell ref="A10:K10"/>
    <mergeCell ref="A11:K11"/>
    <mergeCell ref="D12:K12"/>
    <mergeCell ref="G13:K13"/>
    <mergeCell ref="A14:K14"/>
    <mergeCell ref="B1:G1"/>
    <mergeCell ref="B2:F2"/>
    <mergeCell ref="G2:K3"/>
    <mergeCell ref="B5:K5"/>
    <mergeCell ref="A6:J6"/>
    <mergeCell ref="J8:K8"/>
  </mergeCells>
  <dataValidations count="2">
    <dataValidation type="custom" allowBlank="1" showInputMessage="1" showErrorMessage="1" sqref="K6" xr:uid="{F72FDDFE-9E1E-492F-AFB4-AA291D35E983}">
      <formula1>OR(K6="YES",K6="NO")</formula1>
    </dataValidation>
    <dataValidation type="custom" allowBlank="1" showInputMessage="1" showErrorMessage="1" sqref="F13 F18 F23" xr:uid="{14087199-6F50-455C-93B9-6FA3F920EE12}">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9EB2-4574-48E7-9F31-90199586885F}">
  <sheetPr codeName="Sheet30">
    <tabColor theme="5" tint="0.79998168889431442"/>
  </sheetPr>
  <dimension ref="A1:K15"/>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4.5703125" style="4" customWidth="1"/>
    <col min="2" max="2" width="39.85546875" customWidth="1"/>
    <col min="3" max="3" width="10.140625" customWidth="1"/>
    <col min="4" max="6" width="13" customWidth="1"/>
    <col min="7" max="7" width="7.5703125" customWidth="1"/>
    <col min="8" max="10" width="14" customWidth="1"/>
    <col min="11" max="13" width="7.5703125" customWidth="1"/>
  </cols>
  <sheetData>
    <row r="1" spans="1:11" x14ac:dyDescent="0.25">
      <c r="A1" s="376" t="s">
        <v>343</v>
      </c>
      <c r="B1" s="377"/>
      <c r="C1" s="378" t="s">
        <v>344</v>
      </c>
      <c r="D1" s="379"/>
      <c r="E1" s="379"/>
      <c r="F1" s="379"/>
      <c r="G1" s="380"/>
      <c r="H1" s="70"/>
      <c r="I1" s="70"/>
      <c r="J1" s="70"/>
      <c r="K1" s="64">
        <f>G12</f>
        <v>0</v>
      </c>
    </row>
    <row r="2" spans="1:11" x14ac:dyDescent="0.25">
      <c r="A2" s="381" t="s">
        <v>345</v>
      </c>
      <c r="B2" s="382"/>
      <c r="C2" s="382"/>
      <c r="D2" s="382"/>
      <c r="E2" s="382"/>
      <c r="F2" s="382"/>
      <c r="G2" s="383"/>
      <c r="H2" s="383"/>
      <c r="I2" s="383"/>
      <c r="J2" s="383"/>
      <c r="K2" s="384"/>
    </row>
    <row r="3" spans="1:11" ht="15" customHeight="1" x14ac:dyDescent="0.25">
      <c r="A3" s="385" t="s">
        <v>346</v>
      </c>
      <c r="B3" s="386"/>
      <c r="C3" s="70"/>
      <c r="D3" s="387" t="s">
        <v>347</v>
      </c>
      <c r="E3" s="387"/>
      <c r="F3" s="387"/>
      <c r="G3" s="388"/>
      <c r="H3" s="389" t="s">
        <v>348</v>
      </c>
      <c r="I3" s="389"/>
      <c r="J3" s="389"/>
      <c r="K3" s="390"/>
    </row>
    <row r="4" spans="1:11" ht="15" customHeight="1" x14ac:dyDescent="0.25">
      <c r="A4" s="391" t="s">
        <v>349</v>
      </c>
      <c r="B4" s="392"/>
      <c r="C4" s="20" t="s">
        <v>56</v>
      </c>
      <c r="D4" s="75">
        <v>1</v>
      </c>
      <c r="E4" s="75">
        <v>2</v>
      </c>
      <c r="F4" s="75">
        <v>3</v>
      </c>
      <c r="G4" s="75"/>
      <c r="H4" s="75">
        <v>1</v>
      </c>
      <c r="I4" s="75">
        <v>2</v>
      </c>
      <c r="J4" s="75">
        <v>3</v>
      </c>
      <c r="K4" s="75"/>
    </row>
    <row r="5" spans="1:11" ht="45" x14ac:dyDescent="0.25">
      <c r="A5" s="393" t="s">
        <v>350</v>
      </c>
      <c r="B5" s="394"/>
      <c r="C5" s="395" t="s">
        <v>351</v>
      </c>
      <c r="D5" s="75" t="str">
        <f>Criteria!H10</f>
        <v>Criteria 1</v>
      </c>
      <c r="E5" s="75" t="str">
        <f>Criteria!I10</f>
        <v>Criteria 2</v>
      </c>
      <c r="F5" s="75" t="str">
        <f>Criteria!J10</f>
        <v>Criteria 3</v>
      </c>
      <c r="G5" s="75" t="s">
        <v>352</v>
      </c>
      <c r="H5" s="75" t="str">
        <f>D5</f>
        <v>Criteria 1</v>
      </c>
      <c r="I5" s="75" t="str">
        <f t="shared" ref="I5:J7" si="0">E5</f>
        <v>Criteria 2</v>
      </c>
      <c r="J5" s="75" t="str">
        <f t="shared" si="0"/>
        <v>Criteria 3</v>
      </c>
      <c r="K5" s="75" t="s">
        <v>353</v>
      </c>
    </row>
    <row r="6" spans="1:11" ht="18" customHeight="1" x14ac:dyDescent="0.25">
      <c r="A6" s="396" t="s">
        <v>354</v>
      </c>
      <c r="B6" s="397"/>
      <c r="C6" s="398" t="s">
        <v>355</v>
      </c>
      <c r="D6" s="75">
        <f>IF(LEN(D$5)&gt;0,Criteria!H11,"")</f>
        <v>1</v>
      </c>
      <c r="E6" s="75">
        <f>IF(LEN(E$5)&gt;0,Criteria!I11,"")</f>
        <v>1</v>
      </c>
      <c r="F6" s="75">
        <f>IF(LEN(F$5)&gt;0,Criteria!J11,"")</f>
        <v>1</v>
      </c>
      <c r="G6" s="64">
        <f>SUM(D6:F6)</f>
        <v>3</v>
      </c>
      <c r="H6" s="75">
        <f>D6</f>
        <v>1</v>
      </c>
      <c r="I6" s="75">
        <f t="shared" si="0"/>
        <v>1</v>
      </c>
      <c r="J6" s="75">
        <f t="shared" si="0"/>
        <v>1</v>
      </c>
      <c r="K6" s="64"/>
    </row>
    <row r="7" spans="1:11" ht="18" customHeight="1" x14ac:dyDescent="0.25">
      <c r="A7" s="399" t="s">
        <v>356</v>
      </c>
      <c r="B7" s="400"/>
      <c r="C7" s="398" t="s">
        <v>357</v>
      </c>
      <c r="D7" s="75">
        <f>IF(LEN(D$5)&gt;0,Criteria!H12,"")</f>
        <v>5</v>
      </c>
      <c r="E7" s="75">
        <f>IF(LEN(E$5)&gt;0,Criteria!I12,"")</f>
        <v>5</v>
      </c>
      <c r="F7" s="75">
        <f>IF(LEN(F$5)&gt;0,Criteria!J12,"")</f>
        <v>5</v>
      </c>
      <c r="G7" s="64">
        <f>SUM(D7:F7)</f>
        <v>15</v>
      </c>
      <c r="H7" s="64">
        <f>D7</f>
        <v>5</v>
      </c>
      <c r="I7" s="64">
        <f t="shared" si="0"/>
        <v>5</v>
      </c>
      <c r="J7" s="64">
        <f t="shared" si="0"/>
        <v>5</v>
      </c>
      <c r="K7" s="64"/>
    </row>
    <row r="8" spans="1:11" ht="47.25" customHeight="1" thickBot="1" x14ac:dyDescent="0.3">
      <c r="A8" s="401" t="s">
        <v>69</v>
      </c>
      <c r="B8" s="112" t="s">
        <v>73</v>
      </c>
      <c r="C8" s="402" t="s">
        <v>358</v>
      </c>
      <c r="D8" s="403" t="s">
        <v>359</v>
      </c>
      <c r="E8" s="403"/>
      <c r="F8" s="403"/>
      <c r="G8" s="404"/>
      <c r="H8" s="387" t="s">
        <v>293</v>
      </c>
      <c r="I8" s="387"/>
      <c r="J8" s="387"/>
      <c r="K8" s="405"/>
    </row>
    <row r="9" spans="1:11" x14ac:dyDescent="0.25">
      <c r="A9" s="64"/>
      <c r="B9" s="64"/>
      <c r="C9" s="6"/>
      <c r="D9" s="406"/>
      <c r="E9" s="406"/>
      <c r="F9" s="406"/>
      <c r="G9" s="407">
        <f>SUM(D9:F9)</f>
        <v>0</v>
      </c>
      <c r="H9" s="408" t="str">
        <f>IF(LEN(D9)&gt;0,D9/$G$11*$G$15,"")</f>
        <v/>
      </c>
      <c r="I9" s="408" t="str">
        <f t="shared" ref="I9:J10" si="1">IF(LEN(E9)&gt;0,E9/$G$11*$G$15,"")</f>
        <v/>
      </c>
      <c r="J9" s="408" t="str">
        <f t="shared" si="1"/>
        <v/>
      </c>
      <c r="K9" s="407">
        <f>SUM(H9:J9)</f>
        <v>0</v>
      </c>
    </row>
    <row r="10" spans="1:11" ht="15.75" thickBot="1" x14ac:dyDescent="0.3">
      <c r="A10" s="409"/>
      <c r="B10" s="228"/>
      <c r="C10" s="410"/>
      <c r="D10" s="411"/>
      <c r="E10" s="411"/>
      <c r="F10" s="411"/>
      <c r="G10" s="407">
        <f>SUM(D10:F10)</f>
        <v>0</v>
      </c>
      <c r="H10" s="408" t="str">
        <f>IF(LEN(D10)&gt;0,D10/$G$11*$G$15,"")</f>
        <v/>
      </c>
      <c r="I10" s="408" t="str">
        <f t="shared" si="1"/>
        <v/>
      </c>
      <c r="J10" s="408" t="str">
        <f t="shared" si="1"/>
        <v/>
      </c>
      <c r="K10" s="407">
        <f>SUM(H10:J10)</f>
        <v>0</v>
      </c>
    </row>
    <row r="11" spans="1:11" ht="15" customHeight="1" thickBot="1" x14ac:dyDescent="0.3">
      <c r="A11" s="412" t="s">
        <v>360</v>
      </c>
      <c r="B11" s="413"/>
      <c r="C11" s="414"/>
      <c r="D11" s="415"/>
      <c r="E11" s="415"/>
      <c r="F11" s="415"/>
      <c r="G11" s="407">
        <f>SUM(G9:G10)</f>
        <v>0</v>
      </c>
      <c r="H11" s="416"/>
      <c r="I11" s="416"/>
      <c r="J11" s="416"/>
      <c r="K11" s="417">
        <f>SUM(K9:K10)</f>
        <v>0</v>
      </c>
    </row>
    <row r="12" spans="1:11" x14ac:dyDescent="0.25">
      <c r="G12" s="418">
        <f>COUNTIF(A9:A10,"&gt;"&amp;0)</f>
        <v>0</v>
      </c>
      <c r="H12" s="379" t="s">
        <v>361</v>
      </c>
      <c r="I12" s="419"/>
      <c r="J12" s="420"/>
    </row>
    <row r="13" spans="1:11" x14ac:dyDescent="0.25">
      <c r="G13" s="421">
        <f>'Competition Parameters'!C6</f>
        <v>0.65</v>
      </c>
      <c r="H13" s="127" t="s">
        <v>362</v>
      </c>
      <c r="I13" s="422"/>
      <c r="J13" s="420"/>
    </row>
    <row r="14" spans="1:11" x14ac:dyDescent="0.25">
      <c r="G14" s="423" t="str">
        <f>IF(G11&lt;G15-G12*1,"Harsh",IF(G11&gt;G15+G12,"Generous","Neutral"))</f>
        <v>Neutral</v>
      </c>
      <c r="H14" s="379" t="s">
        <v>363</v>
      </c>
      <c r="I14" s="422"/>
      <c r="J14" s="420"/>
    </row>
    <row r="15" spans="1:11" x14ac:dyDescent="0.25">
      <c r="G15" s="64">
        <f>G7*G12*G13</f>
        <v>0</v>
      </c>
      <c r="H15" s="127" t="s">
        <v>282</v>
      </c>
      <c r="I15" s="422"/>
      <c r="J15" s="420"/>
    </row>
  </sheetData>
  <dataValidations count="1">
    <dataValidation type="decimal" allowBlank="1" showInputMessage="1" showErrorMessage="1" sqref="D9:F10" xr:uid="{78C40332-DFA0-466E-9F73-000659182DA7}">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61696-2202-4231-AD89-62FB4323C5CE}">
  <sheetPr codeName="Sheet26">
    <tabColor theme="9" tint="0.79998168889431442"/>
  </sheetPr>
  <dimension ref="A1:AA103"/>
  <sheetViews>
    <sheetView zoomScale="145" zoomScaleNormal="145" workbookViewId="0">
      <pane ySplit="2" topLeftCell="A3" activePane="bottomLeft" state="frozen"/>
      <selection activeCell="B10" sqref="B10"/>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55"/>
      <c r="C1" s="56" t="s">
        <v>54</v>
      </c>
      <c r="D1" s="56"/>
      <c r="E1" s="57"/>
      <c r="F1" s="57"/>
      <c r="G1" s="58" t="s">
        <v>55</v>
      </c>
      <c r="H1" s="59">
        <f>COUNTIF(B:B,"&lt;&gt;"&amp;"")-1</f>
        <v>3</v>
      </c>
      <c r="I1" s="57"/>
      <c r="J1" s="57"/>
      <c r="K1" s="57"/>
      <c r="L1" s="60"/>
    </row>
    <row r="2" spans="1:27" ht="30" x14ac:dyDescent="0.25">
      <c r="A2" s="61" t="s">
        <v>56</v>
      </c>
      <c r="B2" s="62" t="s">
        <v>57</v>
      </c>
      <c r="C2" s="61" t="s">
        <v>58</v>
      </c>
      <c r="D2" s="61" t="s">
        <v>59</v>
      </c>
      <c r="E2" s="61" t="s">
        <v>60</v>
      </c>
      <c r="F2" s="61"/>
      <c r="G2" s="5" t="s">
        <v>61</v>
      </c>
      <c r="H2" s="63">
        <f>SUMIF(B3:B6,"&lt;&gt;"&amp;"",D3:D6)</f>
        <v>15</v>
      </c>
      <c r="K2" s="4"/>
      <c r="L2" s="4"/>
      <c r="M2" s="4"/>
    </row>
    <row r="3" spans="1:27" ht="15.75" x14ac:dyDescent="0.25">
      <c r="A3" s="64">
        <v>1</v>
      </c>
      <c r="B3" t="s">
        <v>62</v>
      </c>
      <c r="C3">
        <v>1</v>
      </c>
      <c r="D3">
        <v>5</v>
      </c>
      <c r="E3" s="64" t="str">
        <f>C3 &amp; " to " &amp; D3</f>
        <v>1 to 5</v>
      </c>
      <c r="F3" s="65"/>
      <c r="G3" s="65" t="s">
        <v>63</v>
      </c>
      <c r="H3" s="63">
        <f>SUMIF(B3:B6,"&lt;&gt;"&amp;"",C3:C6)</f>
        <v>3</v>
      </c>
    </row>
    <row r="4" spans="1:27" x14ac:dyDescent="0.25">
      <c r="A4" s="64">
        <v>2</v>
      </c>
      <c r="B4" t="s">
        <v>64</v>
      </c>
      <c r="C4">
        <v>1</v>
      </c>
      <c r="D4">
        <v>5</v>
      </c>
      <c r="E4" s="64" t="str">
        <f t="shared" ref="E4:E11" si="0">C4 &amp; " to " &amp; D4</f>
        <v>1 to 5</v>
      </c>
      <c r="F4" s="65"/>
      <c r="G4" s="4"/>
    </row>
    <row r="5" spans="1:27" x14ac:dyDescent="0.25">
      <c r="A5" s="64">
        <v>3</v>
      </c>
      <c r="B5" t="s">
        <v>65</v>
      </c>
      <c r="C5">
        <v>1</v>
      </c>
      <c r="D5">
        <v>5</v>
      </c>
      <c r="E5" s="64" t="str">
        <f t="shared" si="0"/>
        <v>1 to 5</v>
      </c>
      <c r="F5" s="66"/>
      <c r="G5" s="67" t="s">
        <v>53</v>
      </c>
      <c r="H5" s="68"/>
    </row>
    <row r="6" spans="1:27" x14ac:dyDescent="0.25">
      <c r="A6" s="64">
        <v>4</v>
      </c>
      <c r="C6"/>
      <c r="D6"/>
      <c r="E6" s="64" t="str">
        <f t="shared" si="0"/>
        <v xml:space="preserve"> to </v>
      </c>
      <c r="F6" s="66"/>
      <c r="G6" s="67"/>
      <c r="H6" s="68"/>
    </row>
    <row r="7" spans="1:27" x14ac:dyDescent="0.25">
      <c r="A7" s="64">
        <v>5</v>
      </c>
      <c r="C7"/>
      <c r="D7"/>
      <c r="E7" s="64" t="str">
        <f t="shared" si="0"/>
        <v xml:space="preserve"> to </v>
      </c>
      <c r="F7" s="4"/>
      <c r="G7" s="4"/>
      <c r="H7" s="4"/>
      <c r="I7" s="4"/>
      <c r="J7" s="4"/>
      <c r="K7" s="4"/>
      <c r="M7" s="4"/>
      <c r="N7" s="4"/>
      <c r="O7" s="4"/>
    </row>
    <row r="8" spans="1:27" x14ac:dyDescent="0.25">
      <c r="A8" s="64">
        <v>6</v>
      </c>
      <c r="C8"/>
      <c r="D8"/>
      <c r="E8" s="64" t="str">
        <f t="shared" si="0"/>
        <v xml:space="preserve"> to </v>
      </c>
      <c r="G8" s="69" t="s">
        <v>66</v>
      </c>
      <c r="H8" s="69"/>
      <c r="I8" s="69"/>
      <c r="J8" s="55" t="s">
        <v>67</v>
      </c>
      <c r="K8" s="65"/>
      <c r="L8" s="70"/>
      <c r="M8" s="71"/>
      <c r="N8" s="71"/>
      <c r="O8" s="71"/>
      <c r="P8" s="70"/>
      <c r="Q8" s="70"/>
      <c r="R8" s="70"/>
      <c r="S8" s="70"/>
      <c r="T8" s="70"/>
      <c r="U8" s="70"/>
      <c r="V8" s="70"/>
      <c r="W8" s="70"/>
      <c r="X8" s="70"/>
      <c r="Y8" s="70"/>
      <c r="Z8" s="70"/>
      <c r="AA8" s="70"/>
    </row>
    <row r="9" spans="1:27" x14ac:dyDescent="0.25">
      <c r="A9" s="64">
        <v>7</v>
      </c>
      <c r="C9"/>
      <c r="D9"/>
      <c r="E9" s="64" t="str">
        <f t="shared" si="0"/>
        <v xml:space="preserve"> to </v>
      </c>
      <c r="G9" s="61" t="str">
        <f>A2</f>
        <v>Criteria #</v>
      </c>
      <c r="H9" s="64">
        <f>A3</f>
        <v>1</v>
      </c>
      <c r="I9" s="64">
        <f>A4</f>
        <v>2</v>
      </c>
      <c r="J9" s="64">
        <f>A5</f>
        <v>3</v>
      </c>
      <c r="K9" s="6">
        <v>4</v>
      </c>
      <c r="L9" s="72"/>
      <c r="M9" s="72"/>
      <c r="N9" s="72"/>
      <c r="O9" s="73"/>
      <c r="P9" s="72"/>
      <c r="Q9" s="72"/>
      <c r="R9" s="72"/>
      <c r="S9" s="64"/>
      <c r="T9" s="72"/>
      <c r="U9" s="72"/>
      <c r="V9" s="72"/>
      <c r="W9" s="72"/>
      <c r="X9" s="72"/>
      <c r="Y9" s="72"/>
      <c r="Z9" s="72"/>
      <c r="AA9" s="72"/>
    </row>
    <row r="10" spans="1:27" ht="30" x14ac:dyDescent="0.25">
      <c r="A10" s="64">
        <v>8</v>
      </c>
      <c r="C10"/>
      <c r="D10"/>
      <c r="E10" s="64" t="str">
        <f t="shared" si="0"/>
        <v xml:space="preserve"> to </v>
      </c>
      <c r="F10" s="74"/>
      <c r="G10" s="62" t="str">
        <f>B2</f>
        <v>Criteria Names 
(keep these short)</v>
      </c>
      <c r="H10" s="55" t="str">
        <f>B3</f>
        <v>Criteria 1</v>
      </c>
      <c r="I10" s="55" t="str">
        <f>B4</f>
        <v>Criteria 2</v>
      </c>
      <c r="J10" s="55" t="str">
        <f>B5</f>
        <v>Criteria 3</v>
      </c>
      <c r="K10" s="76" t="s">
        <v>68</v>
      </c>
      <c r="L10" s="64"/>
      <c r="M10" s="72"/>
      <c r="N10" s="72"/>
      <c r="O10" s="73"/>
      <c r="P10" s="72"/>
      <c r="Q10" s="72"/>
      <c r="R10" s="72"/>
      <c r="S10" s="64"/>
      <c r="T10" s="72"/>
      <c r="U10" s="72"/>
      <c r="V10" s="72"/>
      <c r="W10" s="72"/>
      <c r="X10" s="72"/>
      <c r="Y10" s="72"/>
      <c r="Z10" s="72"/>
      <c r="AA10" s="72"/>
    </row>
    <row r="11" spans="1:27" s="74" customFormat="1" ht="28.5" customHeight="1" x14ac:dyDescent="0.25">
      <c r="A11" s="64">
        <v>9</v>
      </c>
      <c r="B11"/>
      <c r="C11"/>
      <c r="D11"/>
      <c r="E11" s="64" t="str">
        <f t="shared" si="0"/>
        <v xml:space="preserve"> to </v>
      </c>
      <c r="F11"/>
      <c r="G11" s="61" t="str">
        <f>C2</f>
        <v>Min value</v>
      </c>
      <c r="H11" s="55">
        <f>C3</f>
        <v>1</v>
      </c>
      <c r="I11" s="55">
        <f>C4</f>
        <v>1</v>
      </c>
      <c r="J11" s="55">
        <f>C5</f>
        <v>1</v>
      </c>
      <c r="K11" s="78">
        <v>1</v>
      </c>
      <c r="L11" s="64"/>
      <c r="M11" s="72"/>
      <c r="N11" s="72"/>
      <c r="O11" s="73"/>
      <c r="P11" s="72"/>
      <c r="Q11" s="72"/>
      <c r="R11" s="72"/>
      <c r="S11" s="64"/>
      <c r="T11" s="72"/>
      <c r="U11" s="72"/>
      <c r="V11" s="72"/>
      <c r="W11" s="72"/>
      <c r="X11" s="72"/>
      <c r="Y11" s="72"/>
      <c r="Z11" s="73"/>
      <c r="AA11" s="73"/>
    </row>
    <row r="12" spans="1:27" x14ac:dyDescent="0.25">
      <c r="C12"/>
      <c r="D12"/>
      <c r="G12" s="61" t="str">
        <f>D2</f>
        <v>Max Value</v>
      </c>
      <c r="H12" s="55">
        <f>D3</f>
        <v>5</v>
      </c>
      <c r="I12" s="55">
        <f>D4</f>
        <v>5</v>
      </c>
      <c r="J12" s="55">
        <f>D5</f>
        <v>5</v>
      </c>
      <c r="K12" s="78">
        <v>7</v>
      </c>
      <c r="L12" s="64"/>
      <c r="M12" s="72"/>
      <c r="N12" s="72"/>
      <c r="O12" s="73"/>
      <c r="P12" s="72"/>
      <c r="Q12" s="72"/>
      <c r="R12" s="72"/>
      <c r="S12" s="64"/>
      <c r="T12" s="72"/>
      <c r="U12" s="72"/>
      <c r="V12" s="72"/>
      <c r="W12" s="72"/>
      <c r="X12" s="72"/>
      <c r="Y12" s="72"/>
      <c r="Z12" s="72"/>
      <c r="AA12" s="72"/>
    </row>
    <row r="13" spans="1:27" x14ac:dyDescent="0.25">
      <c r="C13"/>
      <c r="D13"/>
      <c r="G13" s="61" t="str">
        <f>E2</f>
        <v>Score Limits</v>
      </c>
      <c r="H13" s="64" t="str">
        <f>E3</f>
        <v>1 to 5</v>
      </c>
      <c r="I13" s="64" t="str">
        <f>E4</f>
        <v>1 to 5</v>
      </c>
      <c r="J13" s="64" t="str">
        <f>E5</f>
        <v>1 to 5</v>
      </c>
      <c r="K13" s="6" t="str">
        <f>IF(LEN(K11)&gt;0,K11 &amp; " to " &amp;K12,"")</f>
        <v>1 to 7</v>
      </c>
      <c r="L13" s="64"/>
      <c r="M13" s="72"/>
      <c r="N13" s="72"/>
      <c r="O13" s="73"/>
      <c r="P13" s="72"/>
      <c r="Q13" s="72"/>
      <c r="R13" s="72"/>
      <c r="S13" s="64"/>
      <c r="T13" s="72"/>
      <c r="U13" s="72"/>
      <c r="V13" s="72"/>
      <c r="W13" s="72"/>
      <c r="X13" s="72"/>
      <c r="Y13" s="72"/>
      <c r="Z13" s="72"/>
      <c r="AA13" s="72"/>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0F37-52A1-44F9-ABD3-740A90ABFE33}">
  <sheetPr codeName="Sheet28">
    <tabColor theme="5" tint="0.79998168889431442"/>
  </sheetPr>
  <dimension ref="A1:K19"/>
  <sheetViews>
    <sheetView zoomScale="115" zoomScaleNormal="115" workbookViewId="0">
      <pane ySplit="3" topLeftCell="A6" activePane="bottomLeft" state="frozen"/>
      <selection activeCell="A10" sqref="A10:K10"/>
      <selection pane="bottomLeft" activeCell="A10" sqref="A10:K10"/>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424" t="s">
        <v>328</v>
      </c>
      <c r="B1" s="425" t="str">
        <f>'Competition Parameters'!C7</f>
        <v>AN EXCITING PROGRAM/COMPETITION</v>
      </c>
      <c r="C1" s="425"/>
      <c r="D1" s="425"/>
      <c r="E1" s="425"/>
      <c r="F1" s="425"/>
      <c r="G1" s="425"/>
      <c r="H1" s="426" t="s">
        <v>364</v>
      </c>
      <c r="I1" s="427"/>
      <c r="J1" s="427"/>
      <c r="K1" s="428"/>
    </row>
    <row r="2" spans="1:11" ht="16.5" customHeight="1" thickBot="1" x14ac:dyDescent="0.3">
      <c r="A2" s="429" t="s">
        <v>325</v>
      </c>
      <c r="B2" s="430"/>
      <c r="C2" s="342"/>
      <c r="D2" s="342"/>
      <c r="E2" s="340"/>
      <c r="F2" s="340"/>
      <c r="G2" s="340"/>
      <c r="H2" s="340"/>
      <c r="I2" s="340"/>
      <c r="J2" s="340"/>
      <c r="K2" s="431"/>
    </row>
    <row r="3" spans="1:11" ht="34.5" customHeight="1" thickBot="1" x14ac:dyDescent="0.3">
      <c r="A3" s="432" t="s">
        <v>332</v>
      </c>
      <c r="B3" s="433" t="e">
        <f>VLOOKUP(B2,Projects!A:B,2,FALSE)</f>
        <v>#N/A</v>
      </c>
      <c r="C3" s="433"/>
      <c r="D3" s="433"/>
      <c r="E3" s="433"/>
      <c r="F3" s="433"/>
      <c r="G3" s="433"/>
      <c r="H3" s="433"/>
      <c r="I3" s="433"/>
      <c r="J3" s="433"/>
      <c r="K3" s="434"/>
    </row>
    <row r="4" spans="1:11" x14ac:dyDescent="0.25">
      <c r="A4" s="435" t="s">
        <v>365</v>
      </c>
      <c r="B4" s="357"/>
      <c r="C4" s="357"/>
      <c r="D4" s="357"/>
      <c r="E4" s="357"/>
      <c r="F4" s="357"/>
      <c r="G4" s="357"/>
      <c r="H4" s="357"/>
      <c r="I4" s="357"/>
      <c r="J4" s="357"/>
      <c r="K4" s="436"/>
    </row>
    <row r="5" spans="1:11" ht="93" customHeight="1" thickBot="1" x14ac:dyDescent="0.3">
      <c r="A5" s="437"/>
      <c r="B5" s="438"/>
      <c r="C5" s="438"/>
      <c r="D5" s="438"/>
      <c r="E5" s="438"/>
      <c r="F5" s="438"/>
      <c r="G5" s="438"/>
      <c r="H5" s="438"/>
      <c r="I5" s="438"/>
      <c r="J5" s="438"/>
      <c r="K5" s="439"/>
    </row>
    <row r="6" spans="1:11" ht="8.25" customHeight="1" thickBot="1" x14ac:dyDescent="0.3">
      <c r="A6" s="440"/>
      <c r="B6" s="361"/>
      <c r="C6" s="361"/>
      <c r="D6" s="361"/>
      <c r="E6" s="361"/>
      <c r="F6" s="361"/>
      <c r="G6" s="361"/>
      <c r="H6" s="361"/>
      <c r="I6" s="361"/>
      <c r="J6" s="361"/>
      <c r="K6" s="441"/>
    </row>
    <row r="7" spans="1:11" x14ac:dyDescent="0.25">
      <c r="A7" s="362" t="s">
        <v>56</v>
      </c>
      <c r="B7" s="363">
        <v>1</v>
      </c>
      <c r="C7" s="364" t="s">
        <v>366</v>
      </c>
      <c r="D7" s="442" t="str">
        <f>VLOOKUP('Project Comments - template'!B7,Criteria!$A:$B,2,FALSE)</f>
        <v>Criteria 1</v>
      </c>
      <c r="E7" s="443"/>
      <c r="F7" s="443"/>
      <c r="G7" s="443"/>
      <c r="H7" s="443"/>
      <c r="I7" s="443"/>
      <c r="J7" s="443"/>
      <c r="K7" s="444"/>
    </row>
    <row r="8" spans="1:11" x14ac:dyDescent="0.25">
      <c r="A8" s="445" t="s">
        <v>367</v>
      </c>
      <c r="B8" s="445"/>
      <c r="C8" s="445"/>
      <c r="D8" s="445"/>
      <c r="E8" s="445"/>
      <c r="F8" s="445"/>
      <c r="G8" s="445"/>
      <c r="H8" s="445"/>
      <c r="I8" s="445"/>
      <c r="J8" s="445"/>
      <c r="K8" s="446"/>
    </row>
    <row r="9" spans="1:11" ht="79.5" customHeight="1" thickBot="1" x14ac:dyDescent="0.3">
      <c r="A9" s="437"/>
      <c r="B9" s="438"/>
      <c r="C9" s="438"/>
      <c r="D9" s="438"/>
      <c r="E9" s="438"/>
      <c r="F9" s="438"/>
      <c r="G9" s="438"/>
      <c r="H9" s="438"/>
      <c r="I9" s="438"/>
      <c r="J9" s="438"/>
      <c r="K9" s="439"/>
    </row>
    <row r="10" spans="1:11" ht="8.25" customHeight="1" thickBot="1" x14ac:dyDescent="0.3">
      <c r="A10" s="447"/>
      <c r="B10" s="448"/>
      <c r="C10" s="448"/>
      <c r="D10" s="448"/>
      <c r="E10" s="448"/>
      <c r="F10" s="448"/>
      <c r="G10" s="448"/>
      <c r="H10" s="448"/>
      <c r="I10" s="448"/>
      <c r="J10" s="448"/>
      <c r="K10" s="449"/>
    </row>
    <row r="11" spans="1:11" x14ac:dyDescent="0.25">
      <c r="A11" s="362" t="s">
        <v>56</v>
      </c>
      <c r="B11" s="363">
        <f>B7+1</f>
        <v>2</v>
      </c>
      <c r="C11" s="364" t="s">
        <v>366</v>
      </c>
      <c r="D11" s="442" t="str">
        <f>VLOOKUP('Project Comments - template'!B11,Criteria!$A:$B,2,FALSE)</f>
        <v>Criteria 2</v>
      </c>
      <c r="E11" s="443"/>
      <c r="F11" s="443"/>
      <c r="G11" s="443"/>
      <c r="H11" s="443"/>
      <c r="I11" s="443"/>
      <c r="J11" s="443"/>
      <c r="K11" s="444"/>
    </row>
    <row r="12" spans="1:11" x14ac:dyDescent="0.25">
      <c r="A12" s="445" t="s">
        <v>367</v>
      </c>
      <c r="B12" s="445"/>
      <c r="C12" s="445"/>
      <c r="D12" s="445"/>
      <c r="E12" s="445"/>
      <c r="F12" s="445"/>
      <c r="G12" s="445"/>
      <c r="H12" s="445"/>
      <c r="I12" s="445"/>
      <c r="J12" s="445"/>
      <c r="K12" s="446"/>
    </row>
    <row r="13" spans="1:11" ht="95.1" customHeight="1" thickBot="1" x14ac:dyDescent="0.3">
      <c r="A13" s="437"/>
      <c r="B13" s="438"/>
      <c r="C13" s="438"/>
      <c r="D13" s="438"/>
      <c r="E13" s="438"/>
      <c r="F13" s="438"/>
      <c r="G13" s="438"/>
      <c r="H13" s="438"/>
      <c r="I13" s="438"/>
      <c r="J13" s="438"/>
      <c r="K13" s="439"/>
    </row>
    <row r="14" spans="1:11" ht="8.25" customHeight="1" thickBot="1" x14ac:dyDescent="0.3">
      <c r="A14" s="447"/>
      <c r="B14" s="448"/>
      <c r="C14" s="448"/>
      <c r="D14" s="448"/>
      <c r="E14" s="448"/>
      <c r="F14" s="448"/>
      <c r="G14" s="448"/>
      <c r="H14" s="448"/>
      <c r="I14" s="448"/>
      <c r="J14" s="448"/>
      <c r="K14" s="449"/>
    </row>
    <row r="15" spans="1:11" x14ac:dyDescent="0.25">
      <c r="A15" s="362" t="s">
        <v>56</v>
      </c>
      <c r="B15" s="363">
        <f>B11+1</f>
        <v>3</v>
      </c>
      <c r="C15" s="364" t="s">
        <v>366</v>
      </c>
      <c r="D15" s="442" t="str">
        <f>VLOOKUP('Project Comments - template'!B15,Criteria!$A:$B,2,FALSE)</f>
        <v>Criteria 3</v>
      </c>
      <c r="E15" s="443"/>
      <c r="F15" s="443"/>
      <c r="G15" s="443"/>
      <c r="H15" s="443"/>
      <c r="I15" s="443"/>
      <c r="J15" s="443"/>
      <c r="K15" s="444"/>
    </row>
    <row r="16" spans="1:11" x14ac:dyDescent="0.25">
      <c r="A16" s="445" t="s">
        <v>367</v>
      </c>
      <c r="B16" s="445"/>
      <c r="C16" s="445"/>
      <c r="D16" s="445"/>
      <c r="E16" s="445"/>
      <c r="F16" s="445"/>
      <c r="G16" s="445"/>
      <c r="H16" s="445"/>
      <c r="I16" s="445"/>
      <c r="J16" s="445"/>
      <c r="K16" s="446"/>
    </row>
    <row r="17" spans="1:11" ht="95.1" customHeight="1" thickBot="1" x14ac:dyDescent="0.3">
      <c r="A17" s="437"/>
      <c r="B17" s="438"/>
      <c r="C17" s="438"/>
      <c r="D17" s="438"/>
      <c r="E17" s="438"/>
      <c r="F17" s="438"/>
      <c r="G17" s="438"/>
      <c r="H17" s="438"/>
      <c r="I17" s="438"/>
      <c r="J17" s="438"/>
      <c r="K17" s="439"/>
    </row>
    <row r="18" spans="1:11" ht="20.100000000000001" customHeight="1" thickBot="1" x14ac:dyDescent="0.3">
      <c r="A18" s="447" t="s">
        <v>368</v>
      </c>
      <c r="B18" s="448"/>
      <c r="C18" s="448"/>
      <c r="D18" s="448"/>
      <c r="E18" s="448"/>
      <c r="F18" s="448"/>
      <c r="G18" s="448"/>
      <c r="H18" s="448"/>
      <c r="I18" s="448"/>
      <c r="J18" s="448"/>
      <c r="K18" s="449"/>
    </row>
    <row r="19" spans="1:11" ht="20.100000000000001" customHeight="1" x14ac:dyDescent="0.25"/>
  </sheetData>
  <mergeCells count="18">
    <mergeCell ref="A18:K18"/>
    <mergeCell ref="A12:K12"/>
    <mergeCell ref="A13:K13"/>
    <mergeCell ref="A14:K14"/>
    <mergeCell ref="D15:K15"/>
    <mergeCell ref="A16:K16"/>
    <mergeCell ref="A17:K17"/>
    <mergeCell ref="D7:K7"/>
    <mergeCell ref="A8:K8"/>
    <mergeCell ref="A9:K9"/>
    <mergeCell ref="A10:K10"/>
    <mergeCell ref="D11:K11"/>
    <mergeCell ref="B1:G1"/>
    <mergeCell ref="H1:K1"/>
    <mergeCell ref="B3:K3"/>
    <mergeCell ref="A4:K4"/>
    <mergeCell ref="A5:K5"/>
    <mergeCell ref="A6:K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9FFA-64B4-4D1C-BB98-8104EB04D67A}">
  <sheetPr codeName="Sheet2">
    <tabColor theme="9" tint="0.79998168889431442"/>
  </sheetPr>
  <dimension ref="A1:M200"/>
  <sheetViews>
    <sheetView zoomScale="130" zoomScaleNormal="130" workbookViewId="0">
      <pane ySplit="2" topLeftCell="A3" activePane="bottomLeft" state="frozen"/>
      <selection activeCell="B10" sqref="B10"/>
      <selection pane="bottomLeft" activeCell="B10" sqref="B10"/>
    </sheetView>
  </sheetViews>
  <sheetFormatPr defaultRowHeight="15" x14ac:dyDescent="0.25"/>
  <cols>
    <col min="1" max="1" width="5.42578125" style="4" bestFit="1" customWidth="1"/>
    <col min="2" max="2" width="12.140625" customWidth="1"/>
    <col min="3" max="3" width="26.85546875" customWidth="1"/>
    <col min="4" max="4" width="22" style="74" bestFit="1" customWidth="1"/>
    <col min="5" max="5" width="22.28515625" bestFit="1" customWidth="1"/>
    <col min="6" max="6" width="28" style="74" customWidth="1"/>
    <col min="7" max="10" width="7.42578125" style="60" customWidth="1"/>
    <col min="11" max="11" width="18.42578125" bestFit="1" customWidth="1"/>
  </cols>
  <sheetData>
    <row r="1" spans="1:13" s="89" customFormat="1" x14ac:dyDescent="0.25">
      <c r="A1" s="79" t="s">
        <v>69</v>
      </c>
      <c r="B1" s="80" t="str">
        <f>"Competition Name: " &amp;'Competition Parameters'!C7</f>
        <v>Competition Name: AN EXCITING PROGRAM/COMPETITION</v>
      </c>
      <c r="C1" s="81"/>
      <c r="D1" s="82"/>
      <c r="E1" s="81"/>
      <c r="F1" s="83"/>
      <c r="G1" s="84" t="s">
        <v>70</v>
      </c>
      <c r="H1" s="85"/>
      <c r="I1" s="86" t="s">
        <v>71</v>
      </c>
      <c r="J1" s="87"/>
      <c r="K1" s="88" t="s">
        <v>72</v>
      </c>
      <c r="L1" s="61">
        <f>COUNTIF(B:B,"&lt;&gt;"&amp;"")-2</f>
        <v>25</v>
      </c>
      <c r="M1" s="88"/>
    </row>
    <row r="2" spans="1:13" s="101" customFormat="1" ht="61.5" customHeight="1" x14ac:dyDescent="0.25">
      <c r="A2" s="90"/>
      <c r="B2" s="91" t="s">
        <v>73</v>
      </c>
      <c r="C2" s="91" t="s">
        <v>74</v>
      </c>
      <c r="D2" s="92" t="s">
        <v>75</v>
      </c>
      <c r="E2" s="91" t="s">
        <v>76</v>
      </c>
      <c r="F2" s="93" t="s">
        <v>77</v>
      </c>
      <c r="G2" s="94"/>
      <c r="H2" s="95" t="s">
        <v>78</v>
      </c>
      <c r="I2" s="96" t="s">
        <v>79</v>
      </c>
      <c r="J2" s="97" t="s">
        <v>80</v>
      </c>
      <c r="K2" s="98" t="s">
        <v>53</v>
      </c>
      <c r="L2" s="99"/>
      <c r="M2" s="100"/>
    </row>
    <row r="3" spans="1:13" x14ac:dyDescent="0.25">
      <c r="A3" s="16">
        <v>1</v>
      </c>
      <c r="B3" t="s">
        <v>81</v>
      </c>
      <c r="C3" t="s">
        <v>82</v>
      </c>
      <c r="D3" t="s">
        <v>83</v>
      </c>
      <c r="E3" t="s">
        <v>84</v>
      </c>
      <c r="F3"/>
      <c r="G3">
        <v>1</v>
      </c>
      <c r="H3"/>
      <c r="I3"/>
      <c r="J3"/>
    </row>
    <row r="4" spans="1:13" x14ac:dyDescent="0.25">
      <c r="A4" s="16">
        <v>2</v>
      </c>
      <c r="B4" t="s">
        <v>85</v>
      </c>
      <c r="C4" t="s">
        <v>86</v>
      </c>
      <c r="D4" t="s">
        <v>87</v>
      </c>
      <c r="E4" t="s">
        <v>88</v>
      </c>
      <c r="F4"/>
      <c r="G4">
        <v>2</v>
      </c>
      <c r="H4"/>
      <c r="I4"/>
      <c r="J4"/>
    </row>
    <row r="5" spans="1:13" x14ac:dyDescent="0.25">
      <c r="A5" s="16">
        <v>3</v>
      </c>
      <c r="B5" t="s">
        <v>89</v>
      </c>
      <c r="C5" t="s">
        <v>90</v>
      </c>
      <c r="D5" t="s">
        <v>91</v>
      </c>
      <c r="E5" t="s">
        <v>92</v>
      </c>
      <c r="F5"/>
      <c r="G5">
        <v>3</v>
      </c>
      <c r="H5"/>
      <c r="I5"/>
      <c r="J5"/>
    </row>
    <row r="6" spans="1:13" x14ac:dyDescent="0.25">
      <c r="A6" s="16">
        <v>4</v>
      </c>
      <c r="B6" t="s">
        <v>93</v>
      </c>
      <c r="C6" t="s">
        <v>94</v>
      </c>
      <c r="D6" t="s">
        <v>95</v>
      </c>
      <c r="E6" t="s">
        <v>96</v>
      </c>
      <c r="F6"/>
      <c r="G6">
        <v>4</v>
      </c>
      <c r="H6"/>
      <c r="I6"/>
      <c r="J6"/>
    </row>
    <row r="7" spans="1:13" x14ac:dyDescent="0.25">
      <c r="A7" s="16">
        <v>5</v>
      </c>
      <c r="B7" t="s">
        <v>97</v>
      </c>
      <c r="C7" t="s">
        <v>98</v>
      </c>
      <c r="D7" t="s">
        <v>99</v>
      </c>
      <c r="E7" t="s">
        <v>100</v>
      </c>
      <c r="F7"/>
      <c r="G7">
        <v>5</v>
      </c>
      <c r="H7"/>
      <c r="I7"/>
      <c r="J7"/>
    </row>
    <row r="8" spans="1:13" x14ac:dyDescent="0.25">
      <c r="A8" s="16">
        <v>6</v>
      </c>
      <c r="B8" t="s">
        <v>101</v>
      </c>
      <c r="C8" t="s">
        <v>102</v>
      </c>
      <c r="D8" t="s">
        <v>103</v>
      </c>
      <c r="E8" t="s">
        <v>104</v>
      </c>
      <c r="F8"/>
      <c r="G8">
        <v>6</v>
      </c>
      <c r="H8"/>
      <c r="I8"/>
      <c r="J8"/>
    </row>
    <row r="9" spans="1:13" x14ac:dyDescent="0.25">
      <c r="A9" s="16">
        <v>7</v>
      </c>
      <c r="B9" t="s">
        <v>105</v>
      </c>
      <c r="C9" t="s">
        <v>106</v>
      </c>
      <c r="D9" t="s">
        <v>107</v>
      </c>
      <c r="E9" t="s">
        <v>108</v>
      </c>
      <c r="F9"/>
      <c r="G9"/>
      <c r="H9"/>
      <c r="I9"/>
      <c r="J9"/>
    </row>
    <row r="10" spans="1:13" x14ac:dyDescent="0.25">
      <c r="A10" s="16">
        <v>8</v>
      </c>
      <c r="B10" t="s">
        <v>109</v>
      </c>
      <c r="C10" t="s">
        <v>110</v>
      </c>
      <c r="D10" t="s">
        <v>111</v>
      </c>
      <c r="E10" t="s">
        <v>112</v>
      </c>
      <c r="F10"/>
      <c r="G10">
        <v>8</v>
      </c>
      <c r="H10"/>
      <c r="I10"/>
      <c r="J10"/>
    </row>
    <row r="11" spans="1:13" x14ac:dyDescent="0.25">
      <c r="A11" s="16">
        <v>9</v>
      </c>
      <c r="B11" t="s">
        <v>113</v>
      </c>
      <c r="C11" t="s">
        <v>114</v>
      </c>
      <c r="D11" t="s">
        <v>115</v>
      </c>
      <c r="E11" t="s">
        <v>116</v>
      </c>
      <c r="F11"/>
      <c r="G11">
        <v>9</v>
      </c>
      <c r="H11"/>
      <c r="I11"/>
      <c r="J11"/>
    </row>
    <row r="12" spans="1:13" x14ac:dyDescent="0.25">
      <c r="A12" s="16">
        <v>10</v>
      </c>
      <c r="B12" t="s">
        <v>117</v>
      </c>
      <c r="C12" t="s">
        <v>118</v>
      </c>
      <c r="D12" t="s">
        <v>119</v>
      </c>
      <c r="E12" t="s">
        <v>120</v>
      </c>
      <c r="F12"/>
      <c r="G12">
        <v>10</v>
      </c>
      <c r="H12"/>
      <c r="I12"/>
      <c r="J12"/>
    </row>
    <row r="13" spans="1:13" x14ac:dyDescent="0.25">
      <c r="A13" s="16">
        <v>11</v>
      </c>
      <c r="B13" t="s">
        <v>121</v>
      </c>
      <c r="C13" t="s">
        <v>122</v>
      </c>
      <c r="D13" t="s">
        <v>123</v>
      </c>
      <c r="E13" t="s">
        <v>124</v>
      </c>
      <c r="F13"/>
      <c r="G13">
        <v>1</v>
      </c>
      <c r="H13"/>
      <c r="I13"/>
      <c r="J13"/>
    </row>
    <row r="14" spans="1:13" x14ac:dyDescent="0.25">
      <c r="A14" s="16">
        <v>12</v>
      </c>
      <c r="B14" t="s">
        <v>125</v>
      </c>
      <c r="C14" t="s">
        <v>126</v>
      </c>
      <c r="D14" t="s">
        <v>127</v>
      </c>
      <c r="E14" t="s">
        <v>128</v>
      </c>
      <c r="F14"/>
      <c r="G14">
        <v>2</v>
      </c>
      <c r="H14"/>
      <c r="I14"/>
      <c r="J14"/>
    </row>
    <row r="15" spans="1:13" x14ac:dyDescent="0.25">
      <c r="A15" s="16">
        <v>13</v>
      </c>
      <c r="B15" t="s">
        <v>129</v>
      </c>
      <c r="C15" t="s">
        <v>130</v>
      </c>
      <c r="D15" t="s">
        <v>131</v>
      </c>
      <c r="E15" t="s">
        <v>132</v>
      </c>
      <c r="F15"/>
      <c r="G15">
        <v>3</v>
      </c>
      <c r="H15"/>
      <c r="I15"/>
      <c r="J15"/>
    </row>
    <row r="16" spans="1:13" x14ac:dyDescent="0.25">
      <c r="A16" s="16">
        <v>14</v>
      </c>
      <c r="B16" t="s">
        <v>133</v>
      </c>
      <c r="C16" t="s">
        <v>134</v>
      </c>
      <c r="D16" t="s">
        <v>135</v>
      </c>
      <c r="E16" t="s">
        <v>136</v>
      </c>
      <c r="F16"/>
      <c r="G16">
        <v>4</v>
      </c>
      <c r="H16"/>
      <c r="I16"/>
      <c r="J16"/>
    </row>
    <row r="17" spans="1:10" x14ac:dyDescent="0.25">
      <c r="A17" s="16">
        <v>15</v>
      </c>
      <c r="B17" t="s">
        <v>137</v>
      </c>
      <c r="C17" t="s">
        <v>138</v>
      </c>
      <c r="D17" t="s">
        <v>139</v>
      </c>
      <c r="E17" t="s">
        <v>140</v>
      </c>
      <c r="F17"/>
      <c r="G17"/>
      <c r="H17"/>
      <c r="I17"/>
      <c r="J17"/>
    </row>
    <row r="18" spans="1:10" x14ac:dyDescent="0.25">
      <c r="A18" s="16">
        <v>16</v>
      </c>
      <c r="B18" t="s">
        <v>141</v>
      </c>
      <c r="C18" t="s">
        <v>142</v>
      </c>
      <c r="D18" t="s">
        <v>143</v>
      </c>
      <c r="E18" t="s">
        <v>144</v>
      </c>
      <c r="F18"/>
      <c r="G18">
        <v>6</v>
      </c>
      <c r="H18"/>
      <c r="I18"/>
      <c r="J18"/>
    </row>
    <row r="19" spans="1:10" x14ac:dyDescent="0.25">
      <c r="A19" s="16">
        <v>17</v>
      </c>
      <c r="B19" t="s">
        <v>145</v>
      </c>
      <c r="C19" t="s">
        <v>146</v>
      </c>
      <c r="D19" t="s">
        <v>147</v>
      </c>
      <c r="E19" t="s">
        <v>148</v>
      </c>
      <c r="F19"/>
      <c r="G19">
        <v>7</v>
      </c>
      <c r="H19"/>
      <c r="I19"/>
      <c r="J19"/>
    </row>
    <row r="20" spans="1:10" x14ac:dyDescent="0.25">
      <c r="A20" s="16">
        <v>18</v>
      </c>
      <c r="B20" t="s">
        <v>149</v>
      </c>
      <c r="C20" t="s">
        <v>150</v>
      </c>
      <c r="D20" t="s">
        <v>151</v>
      </c>
      <c r="E20" t="s">
        <v>152</v>
      </c>
      <c r="F20"/>
      <c r="G20">
        <v>8</v>
      </c>
      <c r="H20"/>
      <c r="I20"/>
      <c r="J20"/>
    </row>
    <row r="21" spans="1:10" x14ac:dyDescent="0.25">
      <c r="A21" s="16">
        <v>19</v>
      </c>
      <c r="B21" t="s">
        <v>153</v>
      </c>
      <c r="C21" t="s">
        <v>154</v>
      </c>
      <c r="D21" t="s">
        <v>155</v>
      </c>
      <c r="E21" t="s">
        <v>156</v>
      </c>
      <c r="F21"/>
      <c r="G21">
        <v>9</v>
      </c>
      <c r="H21"/>
      <c r="I21"/>
      <c r="J21"/>
    </row>
    <row r="22" spans="1:10" x14ac:dyDescent="0.25">
      <c r="A22" s="16">
        <v>20</v>
      </c>
      <c r="B22" t="s">
        <v>157</v>
      </c>
      <c r="C22" t="s">
        <v>158</v>
      </c>
      <c r="D22" t="s">
        <v>159</v>
      </c>
      <c r="E22" t="s">
        <v>160</v>
      </c>
      <c r="F22"/>
      <c r="G22">
        <v>10</v>
      </c>
      <c r="H22"/>
      <c r="I22"/>
      <c r="J22"/>
    </row>
    <row r="23" spans="1:10" x14ac:dyDescent="0.25">
      <c r="A23" s="16">
        <v>21</v>
      </c>
      <c r="B23" t="s">
        <v>161</v>
      </c>
      <c r="C23" t="s">
        <v>162</v>
      </c>
      <c r="D23" t="s">
        <v>163</v>
      </c>
      <c r="E23" t="s">
        <v>164</v>
      </c>
      <c r="F23"/>
      <c r="G23">
        <v>1</v>
      </c>
      <c r="H23"/>
      <c r="I23"/>
      <c r="J23"/>
    </row>
    <row r="24" spans="1:10" x14ac:dyDescent="0.25">
      <c r="A24" s="16">
        <v>22</v>
      </c>
      <c r="B24" t="s">
        <v>165</v>
      </c>
      <c r="C24" t="s">
        <v>166</v>
      </c>
      <c r="D24" t="s">
        <v>167</v>
      </c>
      <c r="E24" t="s">
        <v>168</v>
      </c>
      <c r="F24"/>
      <c r="G24">
        <v>2</v>
      </c>
      <c r="H24"/>
      <c r="I24"/>
      <c r="J24"/>
    </row>
    <row r="25" spans="1:10" x14ac:dyDescent="0.25">
      <c r="A25" s="16">
        <v>23</v>
      </c>
      <c r="B25" t="s">
        <v>169</v>
      </c>
      <c r="C25" t="s">
        <v>170</v>
      </c>
      <c r="D25" t="s">
        <v>171</v>
      </c>
      <c r="E25" t="s">
        <v>172</v>
      </c>
      <c r="F25"/>
      <c r="G25">
        <v>3</v>
      </c>
      <c r="H25"/>
      <c r="I25"/>
      <c r="J25"/>
    </row>
    <row r="26" spans="1:10" x14ac:dyDescent="0.25">
      <c r="A26" s="16">
        <v>24</v>
      </c>
      <c r="B26" t="s">
        <v>173</v>
      </c>
      <c r="C26" t="s">
        <v>174</v>
      </c>
      <c r="D26" t="s">
        <v>175</v>
      </c>
      <c r="E26" t="s">
        <v>176</v>
      </c>
      <c r="F26"/>
      <c r="G26">
        <v>4</v>
      </c>
      <c r="H26"/>
      <c r="I26"/>
      <c r="J26"/>
    </row>
    <row r="27" spans="1:10" x14ac:dyDescent="0.25">
      <c r="A27" s="16">
        <v>25</v>
      </c>
      <c r="B27" t="s">
        <v>177</v>
      </c>
      <c r="C27" t="s">
        <v>178</v>
      </c>
      <c r="D27" t="s">
        <v>179</v>
      </c>
      <c r="E27" t="s">
        <v>180</v>
      </c>
      <c r="F27"/>
      <c r="G27">
        <v>5</v>
      </c>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B26A-B822-4533-AFBB-2B20D19B7322}">
  <sheetPr codeName="Sheet15">
    <tabColor theme="9" tint="0.79998168889431442"/>
  </sheetPr>
  <dimension ref="A1:G102"/>
  <sheetViews>
    <sheetView zoomScale="130" zoomScaleNormal="130" workbookViewId="0">
      <pane ySplit="1" topLeftCell="A2" activePane="bottomLeft" state="frozen"/>
      <selection activeCell="B10" sqref="B10"/>
      <selection pane="bottomLeft" activeCell="B10" sqref="B10"/>
    </sheetView>
  </sheetViews>
  <sheetFormatPr defaultRowHeight="15" x14ac:dyDescent="0.25"/>
  <cols>
    <col min="1" max="1" width="12.140625" customWidth="1"/>
    <col min="2" max="4" width="31.7109375" style="110" customWidth="1"/>
    <col min="5" max="5" width="12.28515625" style="4" customWidth="1"/>
    <col min="6" max="6" width="20.42578125" customWidth="1"/>
    <col min="9" max="9" width="29.42578125" bestFit="1" customWidth="1"/>
  </cols>
  <sheetData>
    <row r="1" spans="1:7" ht="27.75" customHeight="1" thickBot="1" x14ac:dyDescent="0.3">
      <c r="A1" s="102" t="s">
        <v>181</v>
      </c>
      <c r="B1" s="103" t="s">
        <v>182</v>
      </c>
      <c r="C1" s="104" t="s">
        <v>75</v>
      </c>
      <c r="D1" s="104" t="s">
        <v>76</v>
      </c>
      <c r="E1" s="105" t="s">
        <v>183</v>
      </c>
      <c r="F1" s="106" t="s">
        <v>184</v>
      </c>
      <c r="G1" s="107">
        <f>COUNTIF(B:B,"&lt;&gt;"&amp;"")-1</f>
        <v>10</v>
      </c>
    </row>
    <row r="2" spans="1:7" x14ac:dyDescent="0.25">
      <c r="A2" s="16">
        <v>1</v>
      </c>
      <c r="B2" t="s">
        <v>82</v>
      </c>
      <c r="C2" t="s">
        <v>185</v>
      </c>
      <c r="D2" t="s">
        <v>186</v>
      </c>
      <c r="E2" s="64">
        <f>IF(LEN(B2)&gt;0,COUNTIF(Projects!G:G,Markers!A2),"")</f>
        <v>3</v>
      </c>
      <c r="F2" s="108" t="s">
        <v>53</v>
      </c>
      <c r="G2" s="109"/>
    </row>
    <row r="3" spans="1:7" x14ac:dyDescent="0.25">
      <c r="A3" s="16">
        <v>2</v>
      </c>
      <c r="B3" t="s">
        <v>86</v>
      </c>
      <c r="C3" t="s">
        <v>187</v>
      </c>
      <c r="D3" t="s">
        <v>188</v>
      </c>
      <c r="E3" s="64">
        <f>IF(LEN(B3)&gt;0,COUNTIF(Projects!G:G,Markers!A3),"")</f>
        <v>3</v>
      </c>
      <c r="F3" s="67"/>
      <c r="G3" s="68"/>
    </row>
    <row r="4" spans="1:7" x14ac:dyDescent="0.25">
      <c r="A4" s="16">
        <v>3</v>
      </c>
      <c r="B4" t="s">
        <v>90</v>
      </c>
      <c r="C4" t="s">
        <v>189</v>
      </c>
      <c r="D4" t="s">
        <v>190</v>
      </c>
      <c r="E4" s="64">
        <f>IF(LEN(B4)&gt;0,COUNTIF(Projects!G:G,Markers!A4),"")</f>
        <v>3</v>
      </c>
      <c r="F4" s="67"/>
      <c r="G4" s="68"/>
    </row>
    <row r="5" spans="1:7" x14ac:dyDescent="0.25">
      <c r="A5" s="16">
        <v>4</v>
      </c>
      <c r="B5" t="s">
        <v>94</v>
      </c>
      <c r="C5" t="s">
        <v>191</v>
      </c>
      <c r="D5" t="s">
        <v>192</v>
      </c>
      <c r="E5" s="64">
        <f>IF(LEN(B5)&gt;0,COUNTIF(Projects!G:G,Markers!A5),"")</f>
        <v>3</v>
      </c>
      <c r="F5" s="67"/>
      <c r="G5" s="68"/>
    </row>
    <row r="6" spans="1:7" x14ac:dyDescent="0.25">
      <c r="A6" s="16">
        <v>5</v>
      </c>
      <c r="B6" t="s">
        <v>98</v>
      </c>
      <c r="C6" t="s">
        <v>193</v>
      </c>
      <c r="D6" t="s">
        <v>194</v>
      </c>
      <c r="E6" s="64">
        <f>IF(LEN(B6)&gt;0,COUNTIF(Projects!G:G,Markers!A6),"")</f>
        <v>2</v>
      </c>
    </row>
    <row r="7" spans="1:7" x14ac:dyDescent="0.25">
      <c r="A7" s="16">
        <v>6</v>
      </c>
      <c r="B7" t="s">
        <v>102</v>
      </c>
      <c r="C7" t="s">
        <v>195</v>
      </c>
      <c r="D7" t="s">
        <v>196</v>
      </c>
      <c r="E7" s="64">
        <f>IF(LEN(B7)&gt;0,COUNTIF(Projects!G:G,Markers!A7),"")</f>
        <v>2</v>
      </c>
    </row>
    <row r="8" spans="1:7" x14ac:dyDescent="0.25">
      <c r="A8" s="16">
        <v>7</v>
      </c>
      <c r="B8" t="s">
        <v>106</v>
      </c>
      <c r="C8" t="s">
        <v>197</v>
      </c>
      <c r="D8" t="s">
        <v>198</v>
      </c>
      <c r="E8" s="64">
        <f>IF(LEN(B8)&gt;0,COUNTIF(Projects!G:G,Markers!A8),"")</f>
        <v>1</v>
      </c>
    </row>
    <row r="9" spans="1:7" x14ac:dyDescent="0.25">
      <c r="A9" s="16">
        <v>8</v>
      </c>
      <c r="B9" t="s">
        <v>110</v>
      </c>
      <c r="C9" t="s">
        <v>199</v>
      </c>
      <c r="D9" t="s">
        <v>200</v>
      </c>
      <c r="E9" s="64">
        <f>IF(LEN(B9)&gt;0,COUNTIF(Projects!G:G,Markers!A9),"")</f>
        <v>2</v>
      </c>
    </row>
    <row r="10" spans="1:7" x14ac:dyDescent="0.25">
      <c r="A10" s="16">
        <v>9</v>
      </c>
      <c r="B10" t="s">
        <v>114</v>
      </c>
      <c r="C10" t="s">
        <v>201</v>
      </c>
      <c r="D10" t="s">
        <v>202</v>
      </c>
      <c r="E10" s="64">
        <f>IF(LEN(B10)&gt;0,COUNTIF(Projects!G:G,Markers!A10),"")</f>
        <v>2</v>
      </c>
    </row>
    <row r="11" spans="1:7" x14ac:dyDescent="0.25">
      <c r="A11" s="16">
        <v>10</v>
      </c>
      <c r="B11" t="s">
        <v>118</v>
      </c>
      <c r="C11" t="s">
        <v>203</v>
      </c>
      <c r="D11" t="s">
        <v>204</v>
      </c>
      <c r="E11" s="64">
        <f>IF(LEN(B11)&gt;0,COUNTIF(Projects!G:G,Markers!A11),"")</f>
        <v>2</v>
      </c>
    </row>
    <row r="12" spans="1:7" x14ac:dyDescent="0.25">
      <c r="A12" s="16">
        <v>11</v>
      </c>
      <c r="B12"/>
      <c r="C12"/>
      <c r="D12"/>
      <c r="E12" s="64" t="str">
        <f>IF(LEN(B12)&gt;0,COUNTIF(Projects!G:G,Markers!A12),"")</f>
        <v/>
      </c>
    </row>
    <row r="13" spans="1:7" x14ac:dyDescent="0.25">
      <c r="A13" s="16">
        <v>12</v>
      </c>
      <c r="B13"/>
      <c r="C13"/>
      <c r="D13"/>
      <c r="E13" s="64" t="str">
        <f>IF(LEN(B13)&gt;0,COUNTIF(Projects!G:G,Markers!A13),"")</f>
        <v/>
      </c>
    </row>
    <row r="14" spans="1:7" x14ac:dyDescent="0.25">
      <c r="A14" s="16">
        <v>13</v>
      </c>
      <c r="B14"/>
      <c r="C14"/>
      <c r="D14"/>
      <c r="E14" s="64" t="str">
        <f>IF(LEN(B14)&gt;0,COUNTIF(Projects!G:G,Markers!A14),"")</f>
        <v/>
      </c>
    </row>
    <row r="15" spans="1:7" x14ac:dyDescent="0.25">
      <c r="A15" s="16">
        <v>14</v>
      </c>
      <c r="B15"/>
      <c r="C15"/>
      <c r="D15"/>
      <c r="E15" s="64" t="str">
        <f>IF(LEN(B15)&gt;0,COUNTIF(Projects!G:G,Markers!A15),"")</f>
        <v/>
      </c>
    </row>
    <row r="16" spans="1:7" x14ac:dyDescent="0.25">
      <c r="A16" s="16">
        <v>15</v>
      </c>
      <c r="B16"/>
      <c r="C16"/>
      <c r="D16"/>
      <c r="E16" s="64" t="str">
        <f>IF(LEN(B16)&gt;0,COUNTIF(Projects!G:G,Markers!A16),"")</f>
        <v/>
      </c>
    </row>
    <row r="17" spans="1:5" x14ac:dyDescent="0.25">
      <c r="A17" s="16">
        <v>16</v>
      </c>
      <c r="B17"/>
      <c r="C17"/>
      <c r="D17"/>
      <c r="E17" s="64" t="str">
        <f>IF(LEN(B17)&gt;0,COUNTIF(Projects!G:G,Markers!A17),"")</f>
        <v/>
      </c>
    </row>
    <row r="18" spans="1:5" x14ac:dyDescent="0.25">
      <c r="A18" s="16">
        <v>17</v>
      </c>
      <c r="B18"/>
      <c r="C18"/>
      <c r="D18"/>
      <c r="E18" s="64" t="str">
        <f>IF(LEN(B18)&gt;0,COUNTIF(Projects!G:G,Markers!A18),"")</f>
        <v/>
      </c>
    </row>
    <row r="19" spans="1:5" x14ac:dyDescent="0.25">
      <c r="A19" s="16">
        <v>18</v>
      </c>
      <c r="B19"/>
      <c r="C19"/>
      <c r="D19"/>
      <c r="E19" s="64" t="str">
        <f>IF(LEN(B19)&gt;0,COUNTIF(Projects!G:G,Markers!A19),"")</f>
        <v/>
      </c>
    </row>
    <row r="20" spans="1:5" x14ac:dyDescent="0.25">
      <c r="A20" s="16">
        <v>19</v>
      </c>
      <c r="B20"/>
      <c r="C20"/>
      <c r="D20"/>
      <c r="E20" s="64" t="str">
        <f>IF(LEN(B20)&gt;0,COUNTIF(Projects!G:G,Markers!A20),"")</f>
        <v/>
      </c>
    </row>
    <row r="21" spans="1:5" x14ac:dyDescent="0.25">
      <c r="A21" s="16">
        <v>20</v>
      </c>
      <c r="B21"/>
      <c r="C21"/>
      <c r="D21"/>
      <c r="E21" s="64" t="str">
        <f>IF(LEN(B21)&gt;0,COUNTIF(Projects!G:G,Markers!A21),"")</f>
        <v/>
      </c>
    </row>
    <row r="22" spans="1:5" x14ac:dyDescent="0.25">
      <c r="A22" s="16">
        <v>21</v>
      </c>
      <c r="B22"/>
      <c r="C22"/>
      <c r="D22"/>
      <c r="E22" s="64" t="str">
        <f>IF(LEN(B22)&gt;0,COUNTIF(Projects!G:G,Markers!A22),"")</f>
        <v/>
      </c>
    </row>
    <row r="23" spans="1:5" x14ac:dyDescent="0.25">
      <c r="A23" s="16">
        <v>22</v>
      </c>
      <c r="B23"/>
      <c r="C23"/>
      <c r="D23"/>
      <c r="E23" s="64" t="str">
        <f>IF(LEN(B23)&gt;0,COUNTIF(Projects!G:G,Markers!A23),"")</f>
        <v/>
      </c>
    </row>
    <row r="24" spans="1:5" x14ac:dyDescent="0.25">
      <c r="A24" s="16">
        <v>23</v>
      </c>
      <c r="B24"/>
      <c r="C24"/>
      <c r="D24"/>
      <c r="E24" s="64" t="str">
        <f>IF(LEN(B24)&gt;0,COUNTIF(Projects!G:G,Markers!A24),"")</f>
        <v/>
      </c>
    </row>
    <row r="25" spans="1:5" x14ac:dyDescent="0.25">
      <c r="A25" s="16">
        <v>24</v>
      </c>
      <c r="B25"/>
      <c r="C25"/>
      <c r="D25"/>
      <c r="E25" s="64" t="str">
        <f>IF(LEN(B25)&gt;0,COUNTIF(Projects!G:G,Markers!A25),"")</f>
        <v/>
      </c>
    </row>
    <row r="26" spans="1:5" x14ac:dyDescent="0.25">
      <c r="A26" s="16">
        <v>25</v>
      </c>
      <c r="B26"/>
      <c r="C26"/>
      <c r="D26"/>
      <c r="E26" s="64" t="str">
        <f>IF(LEN(B26)&gt;0,COUNTIF(Projects!G:G,Markers!A26),"")</f>
        <v/>
      </c>
    </row>
    <row r="27" spans="1:5" x14ac:dyDescent="0.25">
      <c r="A27" s="16">
        <v>26</v>
      </c>
      <c r="B27"/>
      <c r="C27"/>
      <c r="D27"/>
      <c r="E27" s="64" t="str">
        <f>IF(LEN(B27)&gt;0,COUNTIF(Projects!G:G,Markers!A27),"")</f>
        <v/>
      </c>
    </row>
    <row r="28" spans="1:5" x14ac:dyDescent="0.25">
      <c r="A28" s="16">
        <v>27</v>
      </c>
      <c r="B28"/>
      <c r="C28"/>
      <c r="D28"/>
      <c r="E28" s="64" t="str">
        <f>IF(LEN(B28)&gt;0,COUNTIF(Projects!G:G,Markers!A28),"")</f>
        <v/>
      </c>
    </row>
    <row r="29" spans="1:5" x14ac:dyDescent="0.25">
      <c r="A29" s="16">
        <v>28</v>
      </c>
      <c r="B29"/>
      <c r="C29"/>
      <c r="D29"/>
      <c r="E29" s="64" t="str">
        <f>IF(LEN(B29)&gt;0,COUNTIF(Projects!G:G,Markers!A29),"")</f>
        <v/>
      </c>
    </row>
    <row r="30" spans="1:5" x14ac:dyDescent="0.25">
      <c r="A30" s="16">
        <v>29</v>
      </c>
      <c r="B30"/>
      <c r="C30"/>
      <c r="D30"/>
      <c r="E30" s="64" t="str">
        <f>IF(LEN(B30)&gt;0,COUNTIF(Projects!G:G,Markers!A30),"")</f>
        <v/>
      </c>
    </row>
    <row r="31" spans="1:5" x14ac:dyDescent="0.25">
      <c r="A31" s="16">
        <v>30</v>
      </c>
      <c r="B31"/>
      <c r="C31"/>
      <c r="D31"/>
      <c r="E31" s="64" t="str">
        <f>IF(LEN(B31)&gt;0,COUNTIF(Projects!G:G,Markers!A31),"")</f>
        <v/>
      </c>
    </row>
    <row r="32" spans="1:5" x14ac:dyDescent="0.25">
      <c r="A32" s="16">
        <v>31</v>
      </c>
      <c r="B32"/>
      <c r="C32"/>
      <c r="D32"/>
      <c r="E32" s="64" t="str">
        <f>IF(LEN(B32)&gt;0,COUNTIF(Projects!G:G,Markers!A32),"")</f>
        <v/>
      </c>
    </row>
    <row r="33" spans="1:5" x14ac:dyDescent="0.25">
      <c r="A33" s="16">
        <v>32</v>
      </c>
      <c r="B33"/>
      <c r="C33"/>
      <c r="D33"/>
      <c r="E33" s="64" t="str">
        <f>IF(LEN(B33)&gt;0,COUNTIF(Projects!G:G,Markers!A33),"")</f>
        <v/>
      </c>
    </row>
    <row r="34" spans="1:5" x14ac:dyDescent="0.25">
      <c r="A34" s="16">
        <v>33</v>
      </c>
      <c r="B34"/>
      <c r="C34"/>
      <c r="D34"/>
      <c r="E34" s="64" t="str">
        <f>IF(LEN(B34)&gt;0,COUNTIF(Projects!G:G,Markers!A34),"")</f>
        <v/>
      </c>
    </row>
    <row r="35" spans="1:5" x14ac:dyDescent="0.25">
      <c r="A35" s="16">
        <v>34</v>
      </c>
      <c r="B35"/>
      <c r="C35"/>
      <c r="D35"/>
      <c r="E35" s="64" t="str">
        <f>IF(LEN(B35)&gt;0,COUNTIF(Projects!G:G,Markers!A35),"")</f>
        <v/>
      </c>
    </row>
    <row r="36" spans="1:5" x14ac:dyDescent="0.25">
      <c r="A36" s="16">
        <v>35</v>
      </c>
      <c r="B36"/>
      <c r="C36"/>
      <c r="D36"/>
      <c r="E36" s="64" t="str">
        <f>IF(LEN(B36)&gt;0,COUNTIF(Projects!G:G,Markers!A36),"")</f>
        <v/>
      </c>
    </row>
    <row r="37" spans="1:5" x14ac:dyDescent="0.25">
      <c r="A37" s="16">
        <v>36</v>
      </c>
      <c r="B37"/>
      <c r="C37"/>
      <c r="D37"/>
      <c r="E37" s="64" t="str">
        <f>IF(LEN(B37)&gt;0,COUNTIF(Projects!G:G,Markers!A37),"")</f>
        <v/>
      </c>
    </row>
    <row r="38" spans="1:5" x14ac:dyDescent="0.25">
      <c r="A38" s="16">
        <v>37</v>
      </c>
      <c r="B38"/>
      <c r="C38"/>
      <c r="D38"/>
      <c r="E38" s="64" t="str">
        <f>IF(LEN(B38)&gt;0,COUNTIF(Projects!G:G,Markers!A38),"")</f>
        <v/>
      </c>
    </row>
    <row r="39" spans="1:5" x14ac:dyDescent="0.25">
      <c r="A39" s="16">
        <v>38</v>
      </c>
      <c r="B39"/>
      <c r="C39"/>
      <c r="D39"/>
      <c r="E39" s="64" t="str">
        <f>IF(LEN(B39)&gt;0,COUNTIF(Projects!G:G,Markers!A39),"")</f>
        <v/>
      </c>
    </row>
    <row r="40" spans="1:5" x14ac:dyDescent="0.25">
      <c r="A40" s="16">
        <v>39</v>
      </c>
      <c r="B40"/>
      <c r="C40"/>
      <c r="D40"/>
      <c r="E40" s="64" t="str">
        <f>IF(LEN(B40)&gt;0,COUNTIF(Projects!G:G,Markers!A40),"")</f>
        <v/>
      </c>
    </row>
    <row r="41" spans="1:5" x14ac:dyDescent="0.25">
      <c r="A41" s="16">
        <v>40</v>
      </c>
      <c r="B41"/>
      <c r="C41"/>
      <c r="D41"/>
      <c r="E41" s="64" t="str">
        <f>IF(LEN(B41)&gt;0,COUNTIF(Projects!G:G,Markers!A41),"")</f>
        <v/>
      </c>
    </row>
    <row r="42" spans="1:5" x14ac:dyDescent="0.25">
      <c r="A42" s="16">
        <v>41</v>
      </c>
      <c r="B42"/>
      <c r="C42"/>
      <c r="D42"/>
      <c r="E42" s="64" t="str">
        <f>IF(LEN(B42)&gt;0,COUNTIF(Projects!G:G,Markers!A42),"")</f>
        <v/>
      </c>
    </row>
    <row r="43" spans="1:5" x14ac:dyDescent="0.25">
      <c r="A43" s="16">
        <v>42</v>
      </c>
      <c r="B43"/>
      <c r="C43"/>
      <c r="D43"/>
      <c r="E43" s="64" t="str">
        <f>IF(LEN(B43)&gt;0,COUNTIF(Projects!G:G,Markers!A43),"")</f>
        <v/>
      </c>
    </row>
    <row r="44" spans="1:5" x14ac:dyDescent="0.25">
      <c r="A44" s="16">
        <v>43</v>
      </c>
      <c r="B44"/>
      <c r="C44"/>
      <c r="D44"/>
      <c r="E44" s="64" t="str">
        <f>IF(LEN(B44)&gt;0,COUNTIF(Projects!G:G,Markers!A44),"")</f>
        <v/>
      </c>
    </row>
    <row r="45" spans="1:5" x14ac:dyDescent="0.25">
      <c r="A45" s="16">
        <v>44</v>
      </c>
      <c r="B45"/>
      <c r="C45"/>
      <c r="D45"/>
      <c r="E45" s="64" t="str">
        <f>IF(LEN(B45)&gt;0,COUNTIF(Projects!G:G,Markers!A45),"")</f>
        <v/>
      </c>
    </row>
    <row r="46" spans="1:5" x14ac:dyDescent="0.25">
      <c r="A46" s="16">
        <v>45</v>
      </c>
      <c r="B46"/>
      <c r="C46"/>
      <c r="D46"/>
      <c r="E46" s="64" t="str">
        <f>IF(LEN(B46)&gt;0,COUNTIF(Projects!G:G,Markers!A46),"")</f>
        <v/>
      </c>
    </row>
    <row r="47" spans="1:5" x14ac:dyDescent="0.25">
      <c r="A47" s="16">
        <v>46</v>
      </c>
      <c r="B47"/>
      <c r="C47"/>
      <c r="D47"/>
      <c r="E47" s="64" t="str">
        <f>IF(LEN(B47)&gt;0,COUNTIF(Projects!G:G,Markers!A47),"")</f>
        <v/>
      </c>
    </row>
    <row r="48" spans="1:5" x14ac:dyDescent="0.25">
      <c r="A48" s="16">
        <v>47</v>
      </c>
      <c r="B48"/>
      <c r="C48"/>
      <c r="D48"/>
      <c r="E48" s="64" t="str">
        <f>IF(LEN(B48)&gt;0,COUNTIF(Projects!G:G,Markers!A48),"")</f>
        <v/>
      </c>
    </row>
    <row r="49" spans="1:5" x14ac:dyDescent="0.25">
      <c r="A49" s="16">
        <v>48</v>
      </c>
      <c r="B49"/>
      <c r="C49"/>
      <c r="D49"/>
      <c r="E49" s="64" t="str">
        <f>IF(LEN(B49)&gt;0,COUNTIF(Projects!G:G,Markers!A49),"")</f>
        <v/>
      </c>
    </row>
    <row r="50" spans="1:5" x14ac:dyDescent="0.25">
      <c r="A50" s="16">
        <v>49</v>
      </c>
      <c r="B50"/>
      <c r="C50"/>
      <c r="D50"/>
      <c r="E50" s="64" t="str">
        <f>IF(LEN(B50)&gt;0,COUNTIF(Projects!G:G,Markers!A50),"")</f>
        <v/>
      </c>
    </row>
    <row r="51" spans="1:5" x14ac:dyDescent="0.25">
      <c r="A51" s="16">
        <v>50</v>
      </c>
      <c r="B51"/>
      <c r="C51"/>
      <c r="D51"/>
      <c r="E51" s="64" t="str">
        <f>IF(LEN(B51)&gt;0,COUNTIF(Projects!G:G,Markers!A51),"")</f>
        <v/>
      </c>
    </row>
    <row r="52" spans="1:5" x14ac:dyDescent="0.25">
      <c r="A52" s="16">
        <v>51</v>
      </c>
      <c r="B52"/>
      <c r="C52"/>
      <c r="D52"/>
      <c r="E52" s="64" t="str">
        <f>IF(LEN(B52)&gt;0,COUNTIF(Projects!G:G,Markers!A52),"")</f>
        <v/>
      </c>
    </row>
    <row r="53" spans="1:5" x14ac:dyDescent="0.25">
      <c r="A53" s="16">
        <v>52</v>
      </c>
      <c r="B53"/>
      <c r="C53"/>
      <c r="D53"/>
      <c r="E53" s="64" t="str">
        <f>IF(LEN(B53)&gt;0,COUNTIF(Projects!G:G,Markers!A53),"")</f>
        <v/>
      </c>
    </row>
    <row r="54" spans="1:5" x14ac:dyDescent="0.25">
      <c r="A54" s="16">
        <v>53</v>
      </c>
      <c r="B54"/>
      <c r="C54"/>
      <c r="D54"/>
      <c r="E54" s="64" t="str">
        <f>IF(LEN(B54)&gt;0,COUNTIF(Projects!G:G,Markers!A54),"")</f>
        <v/>
      </c>
    </row>
    <row r="55" spans="1:5" x14ac:dyDescent="0.25">
      <c r="A55" s="16">
        <v>54</v>
      </c>
      <c r="B55"/>
      <c r="C55"/>
      <c r="D55"/>
      <c r="E55" s="64" t="str">
        <f>IF(LEN(B55)&gt;0,COUNTIF(Projects!G:G,Markers!A55),"")</f>
        <v/>
      </c>
    </row>
    <row r="56" spans="1:5" x14ac:dyDescent="0.25">
      <c r="A56" s="16">
        <v>55</v>
      </c>
      <c r="B56"/>
      <c r="C56"/>
      <c r="D56"/>
      <c r="E56" s="64" t="str">
        <f>IF(LEN(B56)&gt;0,COUNTIF(Projects!G:G,Markers!A56),"")</f>
        <v/>
      </c>
    </row>
    <row r="57" spans="1:5" x14ac:dyDescent="0.25">
      <c r="A57" s="16">
        <v>56</v>
      </c>
      <c r="B57"/>
      <c r="C57"/>
      <c r="D57"/>
      <c r="E57" s="64" t="str">
        <f>IF(LEN(B57)&gt;0,COUNTIF(Projects!G:G,Markers!A57),"")</f>
        <v/>
      </c>
    </row>
    <row r="58" spans="1:5" x14ac:dyDescent="0.25">
      <c r="A58" s="16">
        <v>57</v>
      </c>
      <c r="B58"/>
      <c r="C58"/>
      <c r="D58"/>
      <c r="E58" s="64" t="str">
        <f>IF(LEN(B58)&gt;0,COUNTIF(Projects!G:G,Markers!A58),"")</f>
        <v/>
      </c>
    </row>
    <row r="59" spans="1:5" x14ac:dyDescent="0.25">
      <c r="A59" s="16">
        <v>58</v>
      </c>
      <c r="B59"/>
      <c r="C59"/>
      <c r="D59"/>
      <c r="E59" s="64" t="str">
        <f>IF(LEN(B59)&gt;0,COUNTIF(Projects!G:G,Markers!A59),"")</f>
        <v/>
      </c>
    </row>
    <row r="60" spans="1:5" x14ac:dyDescent="0.25">
      <c r="A60" s="16">
        <v>59</v>
      </c>
      <c r="B60"/>
      <c r="C60"/>
      <c r="D60"/>
      <c r="E60" s="64" t="str">
        <f>IF(LEN(B60)&gt;0,COUNTIF(Projects!G:G,Markers!A60),"")</f>
        <v/>
      </c>
    </row>
    <row r="61" spans="1:5" x14ac:dyDescent="0.25">
      <c r="A61" s="16">
        <v>60</v>
      </c>
      <c r="B61"/>
      <c r="C61"/>
      <c r="D61"/>
      <c r="E61" s="64" t="str">
        <f>IF(LEN(B61)&gt;0,COUNTIF(Projects!G:G,Markers!A61),"")</f>
        <v/>
      </c>
    </row>
    <row r="62" spans="1:5" x14ac:dyDescent="0.25">
      <c r="A62" s="16">
        <v>61</v>
      </c>
      <c r="B62"/>
      <c r="C62"/>
      <c r="D62"/>
      <c r="E62" s="64" t="str">
        <f>IF(LEN(B62)&gt;0,COUNTIF(Projects!G:G,Markers!A62),"")</f>
        <v/>
      </c>
    </row>
    <row r="63" spans="1:5" x14ac:dyDescent="0.25">
      <c r="A63" s="16">
        <v>62</v>
      </c>
      <c r="B63"/>
      <c r="C63"/>
      <c r="D63"/>
      <c r="E63" s="64" t="str">
        <f>IF(LEN(B63)&gt;0,COUNTIF(Projects!G:G,Markers!A63),"")</f>
        <v/>
      </c>
    </row>
    <row r="64" spans="1:5" x14ac:dyDescent="0.25">
      <c r="A64" s="16">
        <v>63</v>
      </c>
      <c r="B64"/>
      <c r="C64"/>
      <c r="D64"/>
      <c r="E64" s="64" t="str">
        <f>IF(LEN(B64)&gt;0,COUNTIF(Projects!G:G,Markers!A64),"")</f>
        <v/>
      </c>
    </row>
    <row r="65" spans="1:5" x14ac:dyDescent="0.25">
      <c r="A65" s="16">
        <v>64</v>
      </c>
      <c r="B65"/>
      <c r="C65"/>
      <c r="D65"/>
      <c r="E65" s="64" t="str">
        <f>IF(LEN(B65)&gt;0,COUNTIF(Projects!G:G,Markers!A65),"")</f>
        <v/>
      </c>
    </row>
    <row r="66" spans="1:5" x14ac:dyDescent="0.25">
      <c r="A66" s="16">
        <v>65</v>
      </c>
      <c r="B66"/>
      <c r="C66"/>
      <c r="D66"/>
      <c r="E66" s="64" t="str">
        <f>IF(LEN(B66)&gt;0,COUNTIF(Projects!G:G,Markers!A66),"")</f>
        <v/>
      </c>
    </row>
    <row r="67" spans="1:5" x14ac:dyDescent="0.25">
      <c r="A67" s="16">
        <v>66</v>
      </c>
      <c r="B67"/>
      <c r="C67"/>
      <c r="D67"/>
      <c r="E67" s="64" t="str">
        <f>IF(LEN(B67)&gt;0,COUNTIF(Projects!G:G,Markers!A67),"")</f>
        <v/>
      </c>
    </row>
    <row r="68" spans="1:5" x14ac:dyDescent="0.25">
      <c r="A68" s="16">
        <v>67</v>
      </c>
      <c r="B68"/>
      <c r="C68"/>
      <c r="D68"/>
      <c r="E68" s="64" t="str">
        <f>IF(LEN(B68)&gt;0,COUNTIF(Projects!G:G,Markers!A68),"")</f>
        <v/>
      </c>
    </row>
    <row r="69" spans="1:5" x14ac:dyDescent="0.25">
      <c r="A69" s="16">
        <v>68</v>
      </c>
      <c r="B69"/>
      <c r="C69"/>
      <c r="D69"/>
      <c r="E69" s="64" t="str">
        <f>IF(LEN(B69)&gt;0,COUNTIF(Projects!G:G,Markers!A69),"")</f>
        <v/>
      </c>
    </row>
    <row r="70" spans="1:5" x14ac:dyDescent="0.25">
      <c r="A70" s="16">
        <v>69</v>
      </c>
      <c r="B70"/>
      <c r="C70"/>
      <c r="D70"/>
      <c r="E70" s="64" t="str">
        <f>IF(LEN(B70)&gt;0,COUNTIF(Projects!G:G,Markers!A70),"")</f>
        <v/>
      </c>
    </row>
    <row r="71" spans="1:5" x14ac:dyDescent="0.25">
      <c r="A71" s="16">
        <v>70</v>
      </c>
      <c r="B71"/>
      <c r="C71"/>
      <c r="D71"/>
      <c r="E71" s="64" t="str">
        <f>IF(LEN(B71)&gt;0,COUNTIF(Projects!G:G,Markers!A71),"")</f>
        <v/>
      </c>
    </row>
    <row r="72" spans="1:5" x14ac:dyDescent="0.25">
      <c r="A72" s="16">
        <v>71</v>
      </c>
      <c r="B72"/>
      <c r="C72"/>
      <c r="D72"/>
      <c r="E72" s="64" t="str">
        <f>IF(LEN(B72)&gt;0,COUNTIF(Projects!G:G,Markers!A72),"")</f>
        <v/>
      </c>
    </row>
    <row r="73" spans="1:5" x14ac:dyDescent="0.25">
      <c r="A73" s="16">
        <v>72</v>
      </c>
      <c r="B73"/>
      <c r="C73"/>
      <c r="D73"/>
      <c r="E73" s="64" t="str">
        <f>IF(LEN(B73)&gt;0,COUNTIF(Projects!G:G,Markers!A73),"")</f>
        <v/>
      </c>
    </row>
    <row r="74" spans="1:5" x14ac:dyDescent="0.25">
      <c r="A74" s="16">
        <v>73</v>
      </c>
      <c r="B74"/>
      <c r="C74"/>
      <c r="D74"/>
      <c r="E74" s="64" t="str">
        <f>IF(LEN(B74)&gt;0,COUNTIF(Projects!G:G,Markers!A74),"")</f>
        <v/>
      </c>
    </row>
    <row r="75" spans="1:5" x14ac:dyDescent="0.25">
      <c r="A75" s="16">
        <v>74</v>
      </c>
      <c r="B75"/>
      <c r="C75"/>
      <c r="D75"/>
      <c r="E75" s="64" t="str">
        <f>IF(LEN(B75)&gt;0,COUNTIF(Projects!G:G,Markers!A75),"")</f>
        <v/>
      </c>
    </row>
    <row r="76" spans="1:5" x14ac:dyDescent="0.25">
      <c r="A76" s="16">
        <v>75</v>
      </c>
      <c r="B76"/>
      <c r="C76"/>
      <c r="D76"/>
      <c r="E76" s="64" t="str">
        <f>IF(LEN(B76)&gt;0,COUNTIF(Projects!G:G,Markers!A76),"")</f>
        <v/>
      </c>
    </row>
    <row r="77" spans="1:5" x14ac:dyDescent="0.25">
      <c r="A77" s="16">
        <v>76</v>
      </c>
      <c r="B77"/>
      <c r="C77"/>
      <c r="D77"/>
      <c r="E77" s="64" t="str">
        <f>IF(LEN(B77)&gt;0,COUNTIF(Projects!G:G,Markers!A77),"")</f>
        <v/>
      </c>
    </row>
    <row r="78" spans="1:5" x14ac:dyDescent="0.25">
      <c r="A78" s="16">
        <v>77</v>
      </c>
      <c r="B78"/>
      <c r="C78"/>
      <c r="D78"/>
      <c r="E78" s="64" t="str">
        <f>IF(LEN(B78)&gt;0,COUNTIF(Projects!G:G,Markers!A78),"")</f>
        <v/>
      </c>
    </row>
    <row r="79" spans="1:5" x14ac:dyDescent="0.25">
      <c r="A79" s="16">
        <v>78</v>
      </c>
      <c r="B79"/>
      <c r="C79"/>
      <c r="D79"/>
      <c r="E79" s="64" t="str">
        <f>IF(LEN(B79)&gt;0,COUNTIF(Projects!G:G,Markers!A79),"")</f>
        <v/>
      </c>
    </row>
    <row r="80" spans="1:5" x14ac:dyDescent="0.25">
      <c r="A80" s="16">
        <v>79</v>
      </c>
      <c r="B80"/>
      <c r="C80"/>
      <c r="D80"/>
      <c r="E80" s="64" t="str">
        <f>IF(LEN(B80)&gt;0,COUNTIF(Projects!G:G,Markers!A80),"")</f>
        <v/>
      </c>
    </row>
    <row r="81" spans="1:5" x14ac:dyDescent="0.25">
      <c r="A81" s="16">
        <v>80</v>
      </c>
      <c r="B81"/>
      <c r="C81"/>
      <c r="D81"/>
      <c r="E81" s="64"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80EF-5608-4BF5-A4F4-E4E9860E428F}">
  <sheetPr codeName="Sheet6">
    <tabColor theme="9" tint="0.79998168889431442"/>
  </sheetPr>
  <dimension ref="A1:Z103"/>
  <sheetViews>
    <sheetView zoomScale="130" zoomScaleNormal="130" workbookViewId="0">
      <pane xSplit="2" ySplit="2" topLeftCell="C3" activePane="bottomRight" state="frozen"/>
      <selection activeCell="B10" sqref="B10"/>
      <selection pane="topRight" activeCell="B10" sqref="B10"/>
      <selection pane="bottomLeft" activeCell="B10" sqref="B10"/>
      <selection pane="bottomRight" activeCell="B3" sqref="B3"/>
    </sheetView>
  </sheetViews>
  <sheetFormatPr defaultRowHeight="15" x14ac:dyDescent="0.25"/>
  <cols>
    <col min="1" max="1" width="9.140625" style="4"/>
    <col min="2" max="2" width="17.42578125" customWidth="1"/>
    <col min="3" max="3" width="32.5703125" style="4" customWidth="1"/>
    <col min="4" max="4" width="11.85546875" style="4" customWidth="1"/>
    <col min="5" max="5" width="3" customWidth="1"/>
    <col min="6" max="9" width="11.85546875" customWidth="1"/>
    <col min="11" max="13" width="11.85546875" customWidth="1"/>
  </cols>
  <sheetData>
    <row r="1" spans="1:26" x14ac:dyDescent="0.25">
      <c r="B1" s="111" t="s">
        <v>205</v>
      </c>
      <c r="C1" s="60"/>
      <c r="D1" s="57"/>
      <c r="E1" s="57"/>
      <c r="F1" s="57"/>
      <c r="G1" s="57"/>
      <c r="H1" s="57"/>
      <c r="I1" s="57"/>
      <c r="J1" s="60"/>
    </row>
    <row r="2" spans="1:26" ht="30" x14ac:dyDescent="0.25">
      <c r="A2" s="112" t="s">
        <v>206</v>
      </c>
      <c r="B2" s="112" t="s">
        <v>207</v>
      </c>
      <c r="C2" s="112" t="s">
        <v>208</v>
      </c>
      <c r="D2" s="62" t="s">
        <v>209</v>
      </c>
      <c r="E2" s="4"/>
      <c r="F2" s="113" t="s">
        <v>210</v>
      </c>
      <c r="G2" s="114">
        <f>COUNTIF(D:D,"&lt;&gt;"&amp;"")-1</f>
        <v>11</v>
      </c>
      <c r="H2" s="113" t="s">
        <v>211</v>
      </c>
      <c r="I2" s="114">
        <f>SUM(D:D)</f>
        <v>11</v>
      </c>
      <c r="K2" s="4"/>
      <c r="L2" s="4"/>
      <c r="M2" s="4"/>
    </row>
    <row r="3" spans="1:26" x14ac:dyDescent="0.25">
      <c r="A3" s="64">
        <v>1</v>
      </c>
      <c r="C3" t="s">
        <v>212</v>
      </c>
      <c r="D3">
        <v>1</v>
      </c>
      <c r="E3" s="4"/>
    </row>
    <row r="4" spans="1:26" x14ac:dyDescent="0.25">
      <c r="A4" s="64">
        <v>2</v>
      </c>
      <c r="C4" t="s">
        <v>213</v>
      </c>
      <c r="D4">
        <v>1</v>
      </c>
      <c r="E4" s="4"/>
      <c r="F4" s="112" t="str">
        <f>A2</f>
        <v>Keyword #</v>
      </c>
      <c r="G4" s="64">
        <f>A3</f>
        <v>1</v>
      </c>
      <c r="H4" s="64">
        <f>A4</f>
        <v>2</v>
      </c>
      <c r="I4" s="64">
        <f>A5</f>
        <v>3</v>
      </c>
      <c r="J4" s="64">
        <f>A6</f>
        <v>4</v>
      </c>
      <c r="K4" s="64">
        <f>A7</f>
        <v>5</v>
      </c>
      <c r="L4" s="64">
        <f>A8</f>
        <v>6</v>
      </c>
      <c r="M4" s="64">
        <f>A9</f>
        <v>7</v>
      </c>
      <c r="N4" s="64">
        <f>A10</f>
        <v>8</v>
      </c>
      <c r="O4" s="64">
        <f>A11</f>
        <v>9</v>
      </c>
      <c r="P4" s="64">
        <f>A12</f>
        <v>10</v>
      </c>
      <c r="Q4" s="64">
        <f>A13</f>
        <v>11</v>
      </c>
      <c r="R4" s="55"/>
      <c r="S4" s="55"/>
      <c r="T4" s="55"/>
      <c r="U4" s="55"/>
      <c r="V4" s="55"/>
      <c r="W4" s="55"/>
      <c r="X4" s="55"/>
      <c r="Y4" s="55"/>
      <c r="Z4" s="55"/>
    </row>
    <row r="5" spans="1:26" x14ac:dyDescent="0.25">
      <c r="A5" s="64">
        <v>3</v>
      </c>
      <c r="C5" t="s">
        <v>214</v>
      </c>
      <c r="D5">
        <v>1</v>
      </c>
      <c r="E5" s="4"/>
      <c r="F5" s="112" t="str">
        <f>B2</f>
        <v>Broad areas</v>
      </c>
      <c r="G5" s="55">
        <f>B3</f>
        <v>0</v>
      </c>
      <c r="H5" s="55">
        <f>B4</f>
        <v>0</v>
      </c>
      <c r="I5" s="55">
        <f>B5</f>
        <v>0</v>
      </c>
      <c r="J5" s="55">
        <f>B6</f>
        <v>0</v>
      </c>
      <c r="K5" s="55">
        <f>B7</f>
        <v>0</v>
      </c>
      <c r="L5" s="55">
        <f>B8</f>
        <v>0</v>
      </c>
      <c r="M5" s="55">
        <f>B9</f>
        <v>0</v>
      </c>
      <c r="N5" s="55">
        <f>B10</f>
        <v>0</v>
      </c>
      <c r="O5" s="55">
        <f>B11</f>
        <v>0</v>
      </c>
      <c r="P5" s="55">
        <f>B12</f>
        <v>0</v>
      </c>
      <c r="Q5" s="55">
        <f>B13</f>
        <v>0</v>
      </c>
      <c r="R5" s="55"/>
      <c r="S5" s="55"/>
      <c r="T5" s="55"/>
      <c r="U5" s="55"/>
      <c r="V5" s="55"/>
      <c r="W5" s="55"/>
      <c r="X5" s="55"/>
      <c r="Y5" s="55"/>
      <c r="Z5" s="55"/>
    </row>
    <row r="6" spans="1:26" x14ac:dyDescent="0.25">
      <c r="A6" s="64">
        <v>4</v>
      </c>
      <c r="C6" t="s">
        <v>215</v>
      </c>
      <c r="D6">
        <v>1</v>
      </c>
      <c r="E6" s="4"/>
      <c r="F6" s="112" t="str">
        <f>C2</f>
        <v>Subtopics</v>
      </c>
      <c r="G6" s="55" t="str">
        <f>C3</f>
        <v>Keyword 1</v>
      </c>
      <c r="H6" s="55" t="str">
        <f>C4</f>
        <v>Keyword 2</v>
      </c>
      <c r="I6" s="55" t="str">
        <f>C5</f>
        <v>Keyword 3</v>
      </c>
      <c r="J6" s="55" t="str">
        <f>C6</f>
        <v>Keyword 4</v>
      </c>
      <c r="K6" s="55" t="str">
        <f>C7</f>
        <v>Keyword 5</v>
      </c>
      <c r="L6" s="55" t="str">
        <f>C8</f>
        <v>Keyword 6</v>
      </c>
      <c r="M6" s="55" t="str">
        <f>C9</f>
        <v>Keyword 7</v>
      </c>
      <c r="N6" s="55" t="str">
        <f>C10</f>
        <v>Keyword 8</v>
      </c>
      <c r="O6" s="55" t="str">
        <f>C11</f>
        <v>Keyword 9</v>
      </c>
      <c r="P6" s="55" t="str">
        <f>C12</f>
        <v>Keyword 10</v>
      </c>
      <c r="Q6" s="55" t="str">
        <f>C13</f>
        <v>Keyword 11</v>
      </c>
      <c r="R6" s="65"/>
      <c r="S6" s="65"/>
      <c r="T6" s="65"/>
      <c r="U6" s="65"/>
      <c r="V6" s="65"/>
      <c r="W6" s="65"/>
      <c r="X6" s="65"/>
      <c r="Y6" s="65"/>
      <c r="Z6" s="65"/>
    </row>
    <row r="7" spans="1:26" ht="30" x14ac:dyDescent="0.25">
      <c r="A7" s="64">
        <v>5</v>
      </c>
      <c r="C7" t="s">
        <v>216</v>
      </c>
      <c r="D7">
        <v>1</v>
      </c>
      <c r="E7" s="4"/>
      <c r="F7" s="62" t="str">
        <f>D2</f>
        <v>Subtopic Weight</v>
      </c>
      <c r="G7" s="55">
        <f>D3</f>
        <v>1</v>
      </c>
      <c r="H7" s="55">
        <f>D4</f>
        <v>1</v>
      </c>
      <c r="I7" s="55">
        <f>D5</f>
        <v>1</v>
      </c>
      <c r="J7" s="55">
        <f>D6</f>
        <v>1</v>
      </c>
      <c r="K7" s="55">
        <f>D7</f>
        <v>1</v>
      </c>
      <c r="L7" s="55">
        <f>D8</f>
        <v>1</v>
      </c>
      <c r="M7" s="55">
        <f>D9</f>
        <v>1</v>
      </c>
      <c r="N7" s="55">
        <f>D10</f>
        <v>1</v>
      </c>
      <c r="O7" s="55">
        <f>D11</f>
        <v>1</v>
      </c>
      <c r="P7" s="55">
        <f>D12</f>
        <v>1</v>
      </c>
      <c r="Q7" s="55">
        <f>D13</f>
        <v>1</v>
      </c>
      <c r="R7" s="65"/>
      <c r="S7" s="65"/>
      <c r="T7" s="65"/>
      <c r="U7" s="65"/>
      <c r="V7" s="65"/>
      <c r="W7" s="65"/>
      <c r="X7" s="65"/>
      <c r="Y7" s="65"/>
      <c r="Z7" s="65"/>
    </row>
    <row r="8" spans="1:26" x14ac:dyDescent="0.25">
      <c r="A8" s="64">
        <v>6</v>
      </c>
      <c r="C8" t="s">
        <v>217</v>
      </c>
      <c r="D8">
        <v>1</v>
      </c>
      <c r="E8" s="4"/>
      <c r="F8" s="99" t="s">
        <v>53</v>
      </c>
      <c r="G8" s="99"/>
      <c r="H8" s="99"/>
      <c r="I8" s="99"/>
      <c r="K8" s="4"/>
      <c r="L8" s="4"/>
      <c r="M8" s="4"/>
    </row>
    <row r="9" spans="1:26" ht="15" customHeight="1" x14ac:dyDescent="0.25">
      <c r="A9" s="64">
        <v>7</v>
      </c>
      <c r="C9" t="s">
        <v>218</v>
      </c>
      <c r="D9">
        <v>1</v>
      </c>
      <c r="E9" s="4"/>
      <c r="F9" s="99"/>
      <c r="G9" s="99"/>
      <c r="H9" s="99"/>
      <c r="I9" s="99"/>
      <c r="K9" s="4"/>
      <c r="L9" s="4"/>
      <c r="M9" s="4"/>
    </row>
    <row r="10" spans="1:26" x14ac:dyDescent="0.25">
      <c r="A10" s="64">
        <v>8</v>
      </c>
      <c r="C10" t="s">
        <v>219</v>
      </c>
      <c r="D10">
        <v>1</v>
      </c>
      <c r="E10" s="4"/>
      <c r="F10" s="4"/>
      <c r="G10" s="4"/>
      <c r="H10" s="4"/>
      <c r="I10" s="4"/>
      <c r="K10" s="4"/>
      <c r="L10" s="4"/>
      <c r="M10" s="4"/>
    </row>
    <row r="11" spans="1:26" x14ac:dyDescent="0.25">
      <c r="A11" s="64">
        <v>9</v>
      </c>
      <c r="C11" t="s">
        <v>220</v>
      </c>
      <c r="D11">
        <v>1</v>
      </c>
    </row>
    <row r="12" spans="1:26" x14ac:dyDescent="0.25">
      <c r="A12" s="64">
        <v>10</v>
      </c>
      <c r="C12" t="s">
        <v>221</v>
      </c>
      <c r="D12">
        <v>1</v>
      </c>
    </row>
    <row r="13" spans="1:26" x14ac:dyDescent="0.25">
      <c r="A13" s="64">
        <v>11</v>
      </c>
      <c r="C13" t="s">
        <v>222</v>
      </c>
      <c r="D13">
        <v>1</v>
      </c>
    </row>
    <row r="14" spans="1:26" x14ac:dyDescent="0.25">
      <c r="A14" s="64">
        <v>12</v>
      </c>
      <c r="C14"/>
      <c r="D14"/>
    </row>
    <row r="15" spans="1:26" x14ac:dyDescent="0.25">
      <c r="A15" s="64">
        <v>13</v>
      </c>
      <c r="C15"/>
      <c r="D15"/>
    </row>
    <row r="16" spans="1:26" x14ac:dyDescent="0.25">
      <c r="A16" s="64">
        <v>14</v>
      </c>
      <c r="C16"/>
      <c r="D16"/>
    </row>
    <row r="17" spans="1:4" x14ac:dyDescent="0.25">
      <c r="A17" s="64">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D3C5-0811-40AE-84A8-845050B9F3DF}">
  <sheetPr codeName="Sheet37">
    <tabColor theme="9" tint="0.79998168889431442"/>
  </sheetPr>
  <dimension ref="A1:AB29"/>
  <sheetViews>
    <sheetView zoomScale="145" zoomScaleNormal="145" workbookViewId="0">
      <pane ySplit="2" topLeftCell="A3" activePane="bottomLeft" state="frozen"/>
      <selection activeCell="B10" sqref="B10"/>
      <selection pane="bottomLeft" activeCell="C4" sqref="C4"/>
    </sheetView>
  </sheetViews>
  <sheetFormatPr defaultRowHeight="15" x14ac:dyDescent="0.25"/>
  <cols>
    <col min="1" max="1" width="5.5703125" style="126" customWidth="1"/>
    <col min="2" max="2" width="50.7109375" customWidth="1"/>
    <col min="3" max="3" width="4.28515625" style="60" customWidth="1"/>
    <col min="4" max="13" width="4.28515625" customWidth="1"/>
    <col min="14" max="14" width="24.42578125" bestFit="1" customWidth="1"/>
    <col min="15" max="15" width="1.7109375" customWidth="1"/>
    <col min="16" max="16" width="5.140625" customWidth="1"/>
    <col min="17" max="27" width="4.28515625" customWidth="1"/>
    <col min="28" max="44" width="5.140625" customWidth="1"/>
  </cols>
  <sheetData>
    <row r="1" spans="1:28" x14ac:dyDescent="0.25">
      <c r="A1" s="89" t="s">
        <v>223</v>
      </c>
      <c r="B1" s="115"/>
      <c r="C1" s="115"/>
      <c r="D1" s="115"/>
      <c r="E1" s="115"/>
      <c r="F1" s="115"/>
      <c r="G1" s="115"/>
      <c r="H1" s="115"/>
      <c r="I1" s="115"/>
      <c r="J1" s="115"/>
      <c r="K1" s="115"/>
      <c r="L1" s="115"/>
      <c r="M1" s="115"/>
      <c r="N1" s="115"/>
      <c r="P1" s="4" t="s">
        <v>224</v>
      </c>
      <c r="Q1" s="4">
        <f>Keywords!G7</f>
        <v>1</v>
      </c>
      <c r="R1" s="4">
        <f>Keywords!H7</f>
        <v>1</v>
      </c>
      <c r="S1" s="4">
        <f>Keywords!I7</f>
        <v>1</v>
      </c>
      <c r="T1" s="4">
        <f>Keywords!J7</f>
        <v>1</v>
      </c>
      <c r="U1" s="4">
        <f>Keywords!K7</f>
        <v>1</v>
      </c>
      <c r="V1" s="4">
        <f>Keywords!L7</f>
        <v>1</v>
      </c>
      <c r="W1" s="4">
        <f>Keywords!M7</f>
        <v>1</v>
      </c>
      <c r="X1" s="4">
        <f>Keywords!N7</f>
        <v>1</v>
      </c>
      <c r="Y1" s="4">
        <f>Keywords!O7</f>
        <v>1</v>
      </c>
      <c r="Z1" s="4">
        <f>Keywords!P7</f>
        <v>1</v>
      </c>
      <c r="AA1" s="4">
        <f>Keywords!Q7</f>
        <v>1</v>
      </c>
    </row>
    <row r="2" spans="1:28" s="4" customFormat="1" ht="59.25" x14ac:dyDescent="0.25">
      <c r="A2" s="116" t="s">
        <v>69</v>
      </c>
      <c r="B2" s="16" t="s">
        <v>73</v>
      </c>
      <c r="C2" s="117" t="str">
        <f>Keywords!G6</f>
        <v>Keyword 1</v>
      </c>
      <c r="D2" s="117" t="str">
        <f>Keywords!H6</f>
        <v>Keyword 2</v>
      </c>
      <c r="E2" s="117" t="str">
        <f>Keywords!I6</f>
        <v>Keyword 3</v>
      </c>
      <c r="F2" s="117" t="str">
        <f>Keywords!J6</f>
        <v>Keyword 4</v>
      </c>
      <c r="G2" s="117" t="str">
        <f>Keywords!K6</f>
        <v>Keyword 5</v>
      </c>
      <c r="H2" s="117" t="str">
        <f>Keywords!L6</f>
        <v>Keyword 6</v>
      </c>
      <c r="I2" s="117" t="str">
        <f>Keywords!M6</f>
        <v>Keyword 7</v>
      </c>
      <c r="J2" s="117" t="str">
        <f>Keywords!N6</f>
        <v>Keyword 8</v>
      </c>
      <c r="K2" s="117" t="str">
        <f>Keywords!O6</f>
        <v>Keyword 9</v>
      </c>
      <c r="L2" s="117" t="str">
        <f>Keywords!P6</f>
        <v>Keyword 10</v>
      </c>
      <c r="M2" s="117" t="str">
        <f>Keywords!Q6</f>
        <v>Keyword 11</v>
      </c>
      <c r="N2" s="62" t="s">
        <v>225</v>
      </c>
      <c r="O2" s="118"/>
      <c r="P2" s="116" t="str">
        <f>A2</f>
        <v>Project #</v>
      </c>
      <c r="Q2" s="119" t="str">
        <f>C2</f>
        <v>Keyword 1</v>
      </c>
      <c r="R2" s="119" t="str">
        <f t="shared" ref="R2:AA2" si="0">D2</f>
        <v>Keyword 2</v>
      </c>
      <c r="S2" s="119" t="str">
        <f t="shared" si="0"/>
        <v>Keyword 3</v>
      </c>
      <c r="T2" s="119" t="str">
        <f t="shared" si="0"/>
        <v>Keyword 4</v>
      </c>
      <c r="U2" s="119" t="str">
        <f t="shared" si="0"/>
        <v>Keyword 5</v>
      </c>
      <c r="V2" s="119" t="str">
        <f t="shared" si="0"/>
        <v>Keyword 6</v>
      </c>
      <c r="W2" s="119" t="str">
        <f t="shared" si="0"/>
        <v>Keyword 7</v>
      </c>
      <c r="X2" s="119" t="str">
        <f t="shared" si="0"/>
        <v>Keyword 8</v>
      </c>
      <c r="Y2" s="119" t="str">
        <f t="shared" si="0"/>
        <v>Keyword 9</v>
      </c>
      <c r="Z2" s="119" t="str">
        <f t="shared" si="0"/>
        <v>Keyword 10</v>
      </c>
      <c r="AA2" s="119" t="str">
        <f t="shared" si="0"/>
        <v>Keyword 11</v>
      </c>
      <c r="AB2" s="119" t="s">
        <v>226</v>
      </c>
    </row>
    <row r="3" spans="1:28" s="126" customFormat="1" x14ac:dyDescent="0.25">
      <c r="A3" s="120"/>
      <c r="B3" s="121"/>
      <c r="C3" s="122"/>
      <c r="D3" s="122"/>
      <c r="E3" s="122"/>
      <c r="F3" s="122"/>
      <c r="G3" s="122"/>
      <c r="H3" s="122"/>
      <c r="I3" s="122"/>
      <c r="J3" s="122"/>
      <c r="K3" s="122"/>
      <c r="L3" s="122"/>
      <c r="M3" s="122"/>
      <c r="N3" s="123"/>
      <c r="O3" s="124"/>
      <c r="P3" s="123"/>
      <c r="Q3" s="125" t="e">
        <f>AVERAGE(Q4:Q28)</f>
        <v>#DIV/0!</v>
      </c>
      <c r="R3" s="125" t="e">
        <f>AVERAGE(R4:R28)</f>
        <v>#DIV/0!</v>
      </c>
      <c r="S3" s="125" t="e">
        <f>AVERAGE(S4:S28)</f>
        <v>#DIV/0!</v>
      </c>
      <c r="T3" s="125" t="e">
        <f>AVERAGE(T4:T28)</f>
        <v>#DIV/0!</v>
      </c>
      <c r="U3" s="125" t="e">
        <f>AVERAGE(U4:U28)</f>
        <v>#DIV/0!</v>
      </c>
      <c r="V3" s="125" t="e">
        <f>AVERAGE(V4:V28)</f>
        <v>#DIV/0!</v>
      </c>
      <c r="W3" s="125" t="e">
        <f>AVERAGE(W4:W28)</f>
        <v>#DIV/0!</v>
      </c>
      <c r="X3" s="125" t="e">
        <f>AVERAGE(X4:X28)</f>
        <v>#DIV/0!</v>
      </c>
      <c r="Y3" s="125" t="e">
        <f>AVERAGE(Y4:Y28)</f>
        <v>#DIV/0!</v>
      </c>
      <c r="Z3" s="125" t="e">
        <f>AVERAGE(Z4:Z28)</f>
        <v>#DIV/0!</v>
      </c>
      <c r="AA3" s="125" t="e">
        <f>AVERAGE(AA4:AA28)</f>
        <v>#DIV/0!</v>
      </c>
      <c r="AB3" s="123"/>
    </row>
    <row r="4" spans="1:28" x14ac:dyDescent="0.25">
      <c r="A4" s="77">
        <v>1</v>
      </c>
      <c r="B4" s="127" t="str">
        <f>Projects!B3</f>
        <v>Project 1</v>
      </c>
      <c r="C4" s="11"/>
      <c r="D4" s="11"/>
      <c r="E4" s="11"/>
      <c r="F4" s="11"/>
      <c r="G4" s="11"/>
      <c r="H4" s="11"/>
      <c r="I4" s="11"/>
      <c r="J4" s="11"/>
      <c r="K4" s="11"/>
      <c r="L4" s="11"/>
      <c r="M4" s="11"/>
      <c r="N4" s="128"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29"/>
      <c r="P4" s="130">
        <f>A4</f>
        <v>1</v>
      </c>
      <c r="Q4" s="131" t="str">
        <f>IF(C4="L",1/3,IF(C4="M",2/3,IF(LEN(C4)&gt;0,1,"")))</f>
        <v/>
      </c>
      <c r="R4" s="131" t="str">
        <f t="shared" ref="R4:AA28" si="1">IF(D4="L",1/3,IF(D4="M",2/3,IF(LEN(D4)&gt;0,1,"")))</f>
        <v/>
      </c>
      <c r="S4" s="131" t="str">
        <f t="shared" si="1"/>
        <v/>
      </c>
      <c r="T4" s="131" t="str">
        <f t="shared" si="1"/>
        <v/>
      </c>
      <c r="U4" s="131" t="str">
        <f t="shared" si="1"/>
        <v/>
      </c>
      <c r="V4" s="131" t="str">
        <f t="shared" si="1"/>
        <v/>
      </c>
      <c r="W4" s="131" t="str">
        <f t="shared" si="1"/>
        <v/>
      </c>
      <c r="X4" s="131" t="str">
        <f t="shared" si="1"/>
        <v/>
      </c>
      <c r="Y4" s="131" t="str">
        <f t="shared" si="1"/>
        <v/>
      </c>
      <c r="Z4" s="131" t="str">
        <f t="shared" si="1"/>
        <v/>
      </c>
      <c r="AA4" s="131" t="str">
        <f t="shared" si="1"/>
        <v/>
      </c>
      <c r="AB4" s="132" t="str">
        <f>IF(SUM(Q4:AA4)&gt;0,SUM(Q4:AA4),"")</f>
        <v/>
      </c>
    </row>
    <row r="5" spans="1:28" x14ac:dyDescent="0.25">
      <c r="A5" s="77">
        <v>2</v>
      </c>
      <c r="B5" s="127" t="str">
        <f>Projects!B4</f>
        <v>Project 2</v>
      </c>
      <c r="C5" s="11"/>
      <c r="D5" s="11"/>
      <c r="E5" s="11"/>
      <c r="F5" s="11"/>
      <c r="G5" s="11"/>
      <c r="H5" s="11"/>
      <c r="I5" s="11"/>
      <c r="J5" s="11"/>
      <c r="K5" s="11"/>
      <c r="L5" s="11"/>
      <c r="M5" s="11"/>
      <c r="N5" s="128" t="str">
        <f t="shared" ref="N5:N28" si="2">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29"/>
      <c r="P5" s="130">
        <f t="shared" ref="P5:P28" si="3">A5</f>
        <v>2</v>
      </c>
      <c r="Q5" s="131" t="str">
        <f t="shared" ref="Q5:Q28" si="4">IF(C5="L",1/3,IF(C5="M",2/3,IF(LEN(C5)&gt;0,1,"")))</f>
        <v/>
      </c>
      <c r="R5" s="131" t="str">
        <f t="shared" ref="R5:R28" si="5">IF(D5="L",1/3,IF(D5="M",2/3,IF(LEN(D5)&gt;0,1,"")))</f>
        <v/>
      </c>
      <c r="S5" s="131" t="str">
        <f t="shared" ref="S5:S28" si="6">IF(E5="L",1/3,IF(E5="M",2/3,IF(LEN(E5)&gt;0,1,"")))</f>
        <v/>
      </c>
      <c r="T5" s="131" t="str">
        <f t="shared" ref="T5:T28" si="7">IF(F5="L",1/3,IF(F5="M",2/3,IF(LEN(F5)&gt;0,1,"")))</f>
        <v/>
      </c>
      <c r="U5" s="131" t="str">
        <f t="shared" ref="U5:U28" si="8">IF(G5="L",1/3,IF(G5="M",2/3,IF(LEN(G5)&gt;0,1,"")))</f>
        <v/>
      </c>
      <c r="V5" s="131" t="str">
        <f t="shared" ref="V5:V28" si="9">IF(H5="L",1/3,IF(H5="M",2/3,IF(LEN(H5)&gt;0,1,"")))</f>
        <v/>
      </c>
      <c r="W5" s="131" t="str">
        <f t="shared" ref="W5:W28" si="10">IF(I5="L",1/3,IF(I5="M",2/3,IF(LEN(I5)&gt;0,1,"")))</f>
        <v/>
      </c>
      <c r="X5" s="131" t="str">
        <f t="shared" ref="X5:X28" si="11">IF(J5="L",1/3,IF(J5="M",2/3,IF(LEN(J5)&gt;0,1,"")))</f>
        <v/>
      </c>
      <c r="Y5" s="131" t="str">
        <f t="shared" ref="Y5:Y28" si="12">IF(K5="L",1/3,IF(K5="M",2/3,IF(LEN(K5)&gt;0,1,"")))</f>
        <v/>
      </c>
      <c r="Z5" s="131" t="str">
        <f t="shared" ref="Z5:Z28" si="13">IF(L5="L",1/3,IF(L5="M",2/3,IF(LEN(L5)&gt;0,1,"")))</f>
        <v/>
      </c>
      <c r="AA5" s="131" t="str">
        <f t="shared" ref="AA5:AA28" si="14">IF(M5="L",1/3,IF(M5="M",2/3,IF(LEN(M5)&gt;0,1,"")))</f>
        <v/>
      </c>
      <c r="AB5" s="132" t="str">
        <f t="shared" ref="AB5:AB28" si="15">IF(SUM(Q5:AA5)&gt;0,SUM(Q5:AA5),"")</f>
        <v/>
      </c>
    </row>
    <row r="6" spans="1:28" x14ac:dyDescent="0.25">
      <c r="A6" s="77">
        <v>3</v>
      </c>
      <c r="B6" s="127" t="str">
        <f>Projects!B5</f>
        <v>Project 3</v>
      </c>
      <c r="C6" s="11"/>
      <c r="D6" s="11"/>
      <c r="E6" s="11"/>
      <c r="F6" s="11"/>
      <c r="G6" s="11"/>
      <c r="H6" s="11"/>
      <c r="I6" s="11"/>
      <c r="J6" s="11"/>
      <c r="K6" s="11"/>
      <c r="L6" s="11"/>
      <c r="M6" s="11"/>
      <c r="N6" s="128" t="str">
        <f t="shared" si="2"/>
        <v>Enter L, M or H in each cell</v>
      </c>
      <c r="O6" s="129"/>
      <c r="P6" s="130">
        <f t="shared" si="3"/>
        <v>3</v>
      </c>
      <c r="Q6" s="131" t="str">
        <f t="shared" si="4"/>
        <v/>
      </c>
      <c r="R6" s="131" t="str">
        <f t="shared" si="5"/>
        <v/>
      </c>
      <c r="S6" s="131" t="str">
        <f t="shared" si="6"/>
        <v/>
      </c>
      <c r="T6" s="131" t="str">
        <f t="shared" si="7"/>
        <v/>
      </c>
      <c r="U6" s="131" t="str">
        <f t="shared" si="8"/>
        <v/>
      </c>
      <c r="V6" s="131" t="str">
        <f t="shared" si="9"/>
        <v/>
      </c>
      <c r="W6" s="131" t="str">
        <f t="shared" si="10"/>
        <v/>
      </c>
      <c r="X6" s="131" t="str">
        <f t="shared" si="11"/>
        <v/>
      </c>
      <c r="Y6" s="131" t="str">
        <f t="shared" si="12"/>
        <v/>
      </c>
      <c r="Z6" s="131" t="str">
        <f t="shared" si="13"/>
        <v/>
      </c>
      <c r="AA6" s="131" t="str">
        <f t="shared" si="14"/>
        <v/>
      </c>
      <c r="AB6" s="132" t="str">
        <f t="shared" si="15"/>
        <v/>
      </c>
    </row>
    <row r="7" spans="1:28" x14ac:dyDescent="0.25">
      <c r="A7" s="77">
        <v>4</v>
      </c>
      <c r="B7" s="127" t="str">
        <f>Projects!B6</f>
        <v>Project 4</v>
      </c>
      <c r="C7" s="11"/>
      <c r="D7" s="11"/>
      <c r="E7" s="11"/>
      <c r="F7" s="11"/>
      <c r="G7" s="11"/>
      <c r="H7" s="11"/>
      <c r="I7" s="11"/>
      <c r="J7" s="11"/>
      <c r="K7" s="11"/>
      <c r="L7" s="11"/>
      <c r="M7" s="11"/>
      <c r="N7" s="128" t="str">
        <f t="shared" si="2"/>
        <v>Enter L, M or H in each cell</v>
      </c>
      <c r="O7" s="129"/>
      <c r="P7" s="130">
        <f t="shared" si="3"/>
        <v>4</v>
      </c>
      <c r="Q7" s="131" t="str">
        <f t="shared" si="4"/>
        <v/>
      </c>
      <c r="R7" s="131" t="str">
        <f t="shared" si="5"/>
        <v/>
      </c>
      <c r="S7" s="131" t="str">
        <f t="shared" si="6"/>
        <v/>
      </c>
      <c r="T7" s="131" t="str">
        <f t="shared" si="7"/>
        <v/>
      </c>
      <c r="U7" s="131" t="str">
        <f t="shared" si="8"/>
        <v/>
      </c>
      <c r="V7" s="131" t="str">
        <f t="shared" si="9"/>
        <v/>
      </c>
      <c r="W7" s="131" t="str">
        <f t="shared" si="10"/>
        <v/>
      </c>
      <c r="X7" s="131" t="str">
        <f t="shared" si="11"/>
        <v/>
      </c>
      <c r="Y7" s="131" t="str">
        <f t="shared" si="12"/>
        <v/>
      </c>
      <c r="Z7" s="131" t="str">
        <f t="shared" si="13"/>
        <v/>
      </c>
      <c r="AA7" s="131" t="str">
        <f t="shared" si="14"/>
        <v/>
      </c>
      <c r="AB7" s="132" t="str">
        <f t="shared" si="15"/>
        <v/>
      </c>
    </row>
    <row r="8" spans="1:28" x14ac:dyDescent="0.25">
      <c r="A8" s="77">
        <v>5</v>
      </c>
      <c r="B8" s="127" t="str">
        <f>Projects!B7</f>
        <v>Project 5</v>
      </c>
      <c r="C8" s="11"/>
      <c r="D8" s="11"/>
      <c r="E8" s="11"/>
      <c r="F8" s="11"/>
      <c r="G8" s="11"/>
      <c r="H8" s="11"/>
      <c r="I8" s="11"/>
      <c r="J8" s="11"/>
      <c r="K8" s="11"/>
      <c r="L8" s="11"/>
      <c r="M8" s="11"/>
      <c r="N8" s="128" t="str">
        <f t="shared" si="2"/>
        <v>Enter L, M or H in each cell</v>
      </c>
      <c r="O8" s="129"/>
      <c r="P8" s="130">
        <f t="shared" si="3"/>
        <v>5</v>
      </c>
      <c r="Q8" s="131" t="str">
        <f t="shared" si="4"/>
        <v/>
      </c>
      <c r="R8" s="131" t="str">
        <f t="shared" si="5"/>
        <v/>
      </c>
      <c r="S8" s="131" t="str">
        <f t="shared" si="6"/>
        <v/>
      </c>
      <c r="T8" s="131" t="str">
        <f t="shared" si="7"/>
        <v/>
      </c>
      <c r="U8" s="131" t="str">
        <f t="shared" si="8"/>
        <v/>
      </c>
      <c r="V8" s="131" t="str">
        <f t="shared" si="9"/>
        <v/>
      </c>
      <c r="W8" s="131" t="str">
        <f t="shared" si="10"/>
        <v/>
      </c>
      <c r="X8" s="131" t="str">
        <f t="shared" si="11"/>
        <v/>
      </c>
      <c r="Y8" s="131" t="str">
        <f t="shared" si="12"/>
        <v/>
      </c>
      <c r="Z8" s="131" t="str">
        <f t="shared" si="13"/>
        <v/>
      </c>
      <c r="AA8" s="131" t="str">
        <f t="shared" si="14"/>
        <v/>
      </c>
      <c r="AB8" s="132" t="str">
        <f t="shared" si="15"/>
        <v/>
      </c>
    </row>
    <row r="9" spans="1:28" x14ac:dyDescent="0.25">
      <c r="A9" s="77">
        <v>6</v>
      </c>
      <c r="B9" s="127" t="str">
        <f>Projects!B8</f>
        <v>Project 6</v>
      </c>
      <c r="C9" s="11"/>
      <c r="D9" s="11"/>
      <c r="E9" s="11"/>
      <c r="F9" s="11"/>
      <c r="G9" s="11"/>
      <c r="H9" s="11"/>
      <c r="I9" s="11"/>
      <c r="J9" s="11"/>
      <c r="K9" s="11"/>
      <c r="L9" s="11"/>
      <c r="M9" s="11"/>
      <c r="N9" s="128" t="str">
        <f t="shared" si="2"/>
        <v>Enter L, M or H in each cell</v>
      </c>
      <c r="O9" s="129"/>
      <c r="P9" s="130">
        <f t="shared" si="3"/>
        <v>6</v>
      </c>
      <c r="Q9" s="131" t="str">
        <f t="shared" si="4"/>
        <v/>
      </c>
      <c r="R9" s="131" t="str">
        <f t="shared" si="5"/>
        <v/>
      </c>
      <c r="S9" s="131" t="str">
        <f t="shared" si="6"/>
        <v/>
      </c>
      <c r="T9" s="131" t="str">
        <f t="shared" si="7"/>
        <v/>
      </c>
      <c r="U9" s="131" t="str">
        <f t="shared" si="8"/>
        <v/>
      </c>
      <c r="V9" s="131" t="str">
        <f t="shared" si="9"/>
        <v/>
      </c>
      <c r="W9" s="131" t="str">
        <f t="shared" si="10"/>
        <v/>
      </c>
      <c r="X9" s="131" t="str">
        <f t="shared" si="11"/>
        <v/>
      </c>
      <c r="Y9" s="131" t="str">
        <f t="shared" si="12"/>
        <v/>
      </c>
      <c r="Z9" s="131" t="str">
        <f t="shared" si="13"/>
        <v/>
      </c>
      <c r="AA9" s="131" t="str">
        <f t="shared" si="14"/>
        <v/>
      </c>
      <c r="AB9" s="132" t="str">
        <f t="shared" si="15"/>
        <v/>
      </c>
    </row>
    <row r="10" spans="1:28" x14ac:dyDescent="0.25">
      <c r="A10" s="77">
        <v>7</v>
      </c>
      <c r="B10" s="127" t="str">
        <f>Projects!B9</f>
        <v>Project 7</v>
      </c>
      <c r="C10" s="11"/>
      <c r="D10" s="11"/>
      <c r="E10" s="11"/>
      <c r="F10" s="11"/>
      <c r="G10" s="11"/>
      <c r="H10" s="11"/>
      <c r="I10" s="11"/>
      <c r="J10" s="11"/>
      <c r="K10" s="11"/>
      <c r="L10" s="11"/>
      <c r="M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 si="8"/>
        <v/>
      </c>
      <c r="V10" s="131" t="str">
        <f t="shared" si="9"/>
        <v/>
      </c>
      <c r="W10" s="131" t="str">
        <f t="shared" si="10"/>
        <v/>
      </c>
      <c r="X10" s="131" t="str">
        <f t="shared" si="11"/>
        <v/>
      </c>
      <c r="Y10" s="131" t="str">
        <f t="shared" si="12"/>
        <v/>
      </c>
      <c r="Z10" s="131" t="str">
        <f t="shared" si="13"/>
        <v/>
      </c>
      <c r="AA10" s="131" t="str">
        <f t="shared" si="14"/>
        <v/>
      </c>
      <c r="AB10" s="132" t="str">
        <f t="shared" si="15"/>
        <v/>
      </c>
    </row>
    <row r="11" spans="1:28" x14ac:dyDescent="0.25">
      <c r="A11" s="77">
        <v>8</v>
      </c>
      <c r="B11" s="127" t="str">
        <f>Projects!B10</f>
        <v>Project 8</v>
      </c>
      <c r="C11" s="11"/>
      <c r="D11" s="11"/>
      <c r="E11" s="11"/>
      <c r="F11" s="11"/>
      <c r="G11" s="11"/>
      <c r="H11" s="11"/>
      <c r="I11" s="11"/>
      <c r="J11" s="11"/>
      <c r="K11" s="11"/>
      <c r="L11" s="11"/>
      <c r="M11" s="11"/>
      <c r="N11" s="128" t="str">
        <f t="shared" si="2"/>
        <v>Enter L, M or H in each cell</v>
      </c>
      <c r="O11" s="129"/>
      <c r="P11" s="130">
        <f t="shared" si="3"/>
        <v>8</v>
      </c>
      <c r="Q11" s="131" t="str">
        <f t="shared" si="4"/>
        <v/>
      </c>
      <c r="R11" s="131" t="str">
        <f t="shared" si="5"/>
        <v/>
      </c>
      <c r="S11" s="131" t="str">
        <f t="shared" si="6"/>
        <v/>
      </c>
      <c r="T11" s="131" t="str">
        <f t="shared" si="7"/>
        <v/>
      </c>
      <c r="U11" s="131" t="str">
        <f t="shared" si="8"/>
        <v/>
      </c>
      <c r="V11" s="131" t="str">
        <f t="shared" si="9"/>
        <v/>
      </c>
      <c r="W11" s="131" t="str">
        <f t="shared" si="10"/>
        <v/>
      </c>
      <c r="X11" s="131" t="str">
        <f t="shared" si="11"/>
        <v/>
      </c>
      <c r="Y11" s="131" t="str">
        <f t="shared" si="12"/>
        <v/>
      </c>
      <c r="Z11" s="131" t="str">
        <f t="shared" si="13"/>
        <v/>
      </c>
      <c r="AA11" s="131" t="str">
        <f t="shared" si="14"/>
        <v/>
      </c>
      <c r="AB11" s="132" t="str">
        <f t="shared" si="15"/>
        <v/>
      </c>
    </row>
    <row r="12" spans="1:28" x14ac:dyDescent="0.25">
      <c r="A12" s="77">
        <v>9</v>
      </c>
      <c r="B12" s="127" t="str">
        <f>Projects!B11</f>
        <v>Project 9</v>
      </c>
      <c r="C12" s="11"/>
      <c r="D12" s="11"/>
      <c r="E12" s="11"/>
      <c r="F12" s="11"/>
      <c r="G12" s="11"/>
      <c r="H12" s="11"/>
      <c r="I12" s="11"/>
      <c r="J12" s="11"/>
      <c r="K12" s="11"/>
      <c r="L12" s="11"/>
      <c r="M12" s="11"/>
      <c r="N12" s="128" t="str">
        <f t="shared" si="2"/>
        <v>Enter L, M or H in each cell</v>
      </c>
      <c r="O12" s="129"/>
      <c r="P12" s="130">
        <f t="shared" si="3"/>
        <v>9</v>
      </c>
      <c r="Q12" s="131" t="str">
        <f t="shared" si="4"/>
        <v/>
      </c>
      <c r="R12" s="131" t="str">
        <f t="shared" si="5"/>
        <v/>
      </c>
      <c r="S12" s="131" t="str">
        <f t="shared" si="6"/>
        <v/>
      </c>
      <c r="T12" s="131" t="str">
        <f t="shared" si="7"/>
        <v/>
      </c>
      <c r="U12" s="131" t="str">
        <f t="shared" si="8"/>
        <v/>
      </c>
      <c r="V12" s="131" t="str">
        <f t="shared" si="9"/>
        <v/>
      </c>
      <c r="W12" s="131" t="str">
        <f t="shared" si="10"/>
        <v/>
      </c>
      <c r="X12" s="131" t="str">
        <f t="shared" si="11"/>
        <v/>
      </c>
      <c r="Y12" s="131" t="str">
        <f t="shared" si="12"/>
        <v/>
      </c>
      <c r="Z12" s="131" t="str">
        <f t="shared" si="13"/>
        <v/>
      </c>
      <c r="AA12" s="131" t="str">
        <f t="shared" si="14"/>
        <v/>
      </c>
      <c r="AB12" s="132" t="str">
        <f t="shared" si="15"/>
        <v/>
      </c>
    </row>
    <row r="13" spans="1:28" x14ac:dyDescent="0.25">
      <c r="A13" s="77">
        <v>10</v>
      </c>
      <c r="B13" s="127" t="str">
        <f>Projects!B12</f>
        <v>Project 10</v>
      </c>
      <c r="C13" s="11"/>
      <c r="D13" s="11"/>
      <c r="E13" s="11"/>
      <c r="F13" s="11"/>
      <c r="G13" s="11"/>
      <c r="H13" s="11"/>
      <c r="I13" s="11"/>
      <c r="J13" s="11"/>
      <c r="K13" s="11"/>
      <c r="L13" s="11"/>
      <c r="M13" s="11"/>
      <c r="N13" s="128" t="str">
        <f t="shared" si="2"/>
        <v>Enter L, M or H in each cell</v>
      </c>
      <c r="O13" s="129"/>
      <c r="P13" s="130">
        <f t="shared" si="3"/>
        <v>10</v>
      </c>
      <c r="Q13" s="131" t="str">
        <f t="shared" si="4"/>
        <v/>
      </c>
      <c r="R13" s="131" t="str">
        <f t="shared" si="5"/>
        <v/>
      </c>
      <c r="S13" s="131" t="str">
        <f t="shared" si="6"/>
        <v/>
      </c>
      <c r="T13" s="131" t="str">
        <f t="shared" si="7"/>
        <v/>
      </c>
      <c r="U13" s="131" t="str">
        <f t="shared" si="8"/>
        <v/>
      </c>
      <c r="V13" s="131" t="str">
        <f t="shared" si="9"/>
        <v/>
      </c>
      <c r="W13" s="131" t="str">
        <f t="shared" si="10"/>
        <v/>
      </c>
      <c r="X13" s="131" t="str">
        <f t="shared" si="11"/>
        <v/>
      </c>
      <c r="Y13" s="131" t="str">
        <f t="shared" si="12"/>
        <v/>
      </c>
      <c r="Z13" s="131" t="str">
        <f t="shared" si="13"/>
        <v/>
      </c>
      <c r="AA13" s="131" t="str">
        <f t="shared" si="14"/>
        <v/>
      </c>
      <c r="AB13" s="132" t="str">
        <f t="shared" si="15"/>
        <v/>
      </c>
    </row>
    <row r="14" spans="1:28" x14ac:dyDescent="0.25">
      <c r="A14" s="77">
        <v>11</v>
      </c>
      <c r="B14" s="127" t="str">
        <f>Projects!B13</f>
        <v>Project 11</v>
      </c>
      <c r="C14" s="11"/>
      <c r="D14" s="11"/>
      <c r="E14" s="11"/>
      <c r="F14" s="11"/>
      <c r="G14" s="11"/>
      <c r="H14" s="11"/>
      <c r="I14" s="11"/>
      <c r="J14" s="11"/>
      <c r="K14" s="11"/>
      <c r="L14" s="11"/>
      <c r="M14" s="11"/>
      <c r="N14" s="128" t="str">
        <f t="shared" si="2"/>
        <v>Enter L, M or H in each cell</v>
      </c>
      <c r="O14" s="129"/>
      <c r="P14" s="130">
        <f t="shared" si="3"/>
        <v>11</v>
      </c>
      <c r="Q14" s="131" t="str">
        <f t="shared" si="4"/>
        <v/>
      </c>
      <c r="R14" s="131" t="str">
        <f t="shared" si="5"/>
        <v/>
      </c>
      <c r="S14" s="131" t="str">
        <f t="shared" si="6"/>
        <v/>
      </c>
      <c r="T14" s="131" t="str">
        <f t="shared" si="7"/>
        <v/>
      </c>
      <c r="U14" s="131" t="str">
        <f t="shared" si="8"/>
        <v/>
      </c>
      <c r="V14" s="131" t="str">
        <f t="shared" si="9"/>
        <v/>
      </c>
      <c r="W14" s="131" t="str">
        <f t="shared" si="10"/>
        <v/>
      </c>
      <c r="X14" s="131" t="str">
        <f t="shared" si="11"/>
        <v/>
      </c>
      <c r="Y14" s="131" t="str">
        <f t="shared" si="12"/>
        <v/>
      </c>
      <c r="Z14" s="131" t="str">
        <f t="shared" si="13"/>
        <v/>
      </c>
      <c r="AA14" s="131" t="str">
        <f t="shared" si="14"/>
        <v/>
      </c>
      <c r="AB14" s="132" t="str">
        <f t="shared" si="15"/>
        <v/>
      </c>
    </row>
    <row r="15" spans="1:28" x14ac:dyDescent="0.25">
      <c r="A15" s="77">
        <v>12</v>
      </c>
      <c r="B15" s="127" t="str">
        <f>Projects!B14</f>
        <v>Project 12</v>
      </c>
      <c r="C15" s="11"/>
      <c r="D15" s="11"/>
      <c r="E15" s="11"/>
      <c r="F15" s="11"/>
      <c r="G15" s="11"/>
      <c r="H15" s="11"/>
      <c r="I15" s="11"/>
      <c r="J15" s="11"/>
      <c r="K15" s="11"/>
      <c r="L15" s="11"/>
      <c r="M15" s="11"/>
      <c r="N15" s="128" t="str">
        <f t="shared" si="2"/>
        <v>Enter L, M or H in each cell</v>
      </c>
      <c r="O15" s="129"/>
      <c r="P15" s="130">
        <f t="shared" si="3"/>
        <v>12</v>
      </c>
      <c r="Q15" s="131" t="str">
        <f t="shared" si="4"/>
        <v/>
      </c>
      <c r="R15" s="131" t="str">
        <f t="shared" si="5"/>
        <v/>
      </c>
      <c r="S15" s="131" t="str">
        <f t="shared" si="6"/>
        <v/>
      </c>
      <c r="T15" s="131" t="str">
        <f t="shared" si="7"/>
        <v/>
      </c>
      <c r="U15" s="131" t="str">
        <f t="shared" si="8"/>
        <v/>
      </c>
      <c r="V15" s="131" t="str">
        <f t="shared" si="9"/>
        <v/>
      </c>
      <c r="W15" s="131" t="str">
        <f t="shared" si="10"/>
        <v/>
      </c>
      <c r="X15" s="131" t="str">
        <f t="shared" si="11"/>
        <v/>
      </c>
      <c r="Y15" s="131" t="str">
        <f t="shared" si="12"/>
        <v/>
      </c>
      <c r="Z15" s="131" t="str">
        <f t="shared" si="13"/>
        <v/>
      </c>
      <c r="AA15" s="131" t="str">
        <f t="shared" si="14"/>
        <v/>
      </c>
      <c r="AB15" s="132" t="str">
        <f t="shared" si="15"/>
        <v/>
      </c>
    </row>
    <row r="16" spans="1:28" x14ac:dyDescent="0.25">
      <c r="A16" s="77">
        <v>13</v>
      </c>
      <c r="B16" s="127" t="str">
        <f>Projects!B15</f>
        <v>Project 13</v>
      </c>
      <c r="C16" s="11"/>
      <c r="D16" s="11"/>
      <c r="E16" s="11"/>
      <c r="F16" s="11"/>
      <c r="G16" s="11"/>
      <c r="H16" s="11"/>
      <c r="I16" s="11"/>
      <c r="J16" s="11"/>
      <c r="K16" s="11"/>
      <c r="L16" s="11"/>
      <c r="M16" s="11"/>
      <c r="N16" s="128" t="str">
        <f t="shared" si="2"/>
        <v>Enter L, M or H in each cell</v>
      </c>
      <c r="O16" s="129"/>
      <c r="P16" s="130">
        <f t="shared" si="3"/>
        <v>13</v>
      </c>
      <c r="Q16" s="131" t="str">
        <f t="shared" si="4"/>
        <v/>
      </c>
      <c r="R16" s="131" t="str">
        <f t="shared" si="5"/>
        <v/>
      </c>
      <c r="S16" s="131" t="str">
        <f t="shared" si="6"/>
        <v/>
      </c>
      <c r="T16" s="131" t="str">
        <f t="shared" si="7"/>
        <v/>
      </c>
      <c r="U16" s="131" t="str">
        <f t="shared" si="8"/>
        <v/>
      </c>
      <c r="V16" s="131" t="str">
        <f t="shared" si="9"/>
        <v/>
      </c>
      <c r="W16" s="131" t="str">
        <f t="shared" si="10"/>
        <v/>
      </c>
      <c r="X16" s="131" t="str">
        <f t="shared" si="11"/>
        <v/>
      </c>
      <c r="Y16" s="131" t="str">
        <f t="shared" si="12"/>
        <v/>
      </c>
      <c r="Z16" s="131" t="str">
        <f t="shared" si="13"/>
        <v/>
      </c>
      <c r="AA16" s="131" t="str">
        <f t="shared" si="14"/>
        <v/>
      </c>
      <c r="AB16" s="132" t="str">
        <f t="shared" si="15"/>
        <v/>
      </c>
    </row>
    <row r="17" spans="1:28" x14ac:dyDescent="0.25">
      <c r="A17" s="77">
        <v>14</v>
      </c>
      <c r="B17" s="127" t="str">
        <f>Projects!B16</f>
        <v>Project 14</v>
      </c>
      <c r="C17" s="11"/>
      <c r="D17" s="11"/>
      <c r="E17" s="11"/>
      <c r="F17" s="11"/>
      <c r="G17" s="11"/>
      <c r="H17" s="11"/>
      <c r="I17" s="11"/>
      <c r="J17" s="11"/>
      <c r="K17" s="11"/>
      <c r="L17" s="11"/>
      <c r="M17" s="11"/>
      <c r="N17" s="128" t="str">
        <f t="shared" si="2"/>
        <v>Enter L, M or H in each cell</v>
      </c>
      <c r="O17" s="129"/>
      <c r="P17" s="130">
        <f t="shared" si="3"/>
        <v>14</v>
      </c>
      <c r="Q17" s="131" t="str">
        <f t="shared" si="4"/>
        <v/>
      </c>
      <c r="R17" s="131" t="str">
        <f t="shared" si="5"/>
        <v/>
      </c>
      <c r="S17" s="131" t="str">
        <f t="shared" si="6"/>
        <v/>
      </c>
      <c r="T17" s="131" t="str">
        <f t="shared" si="7"/>
        <v/>
      </c>
      <c r="U17" s="131" t="str">
        <f t="shared" si="8"/>
        <v/>
      </c>
      <c r="V17" s="131" t="str">
        <f t="shared" si="9"/>
        <v/>
      </c>
      <c r="W17" s="131" t="str">
        <f t="shared" si="10"/>
        <v/>
      </c>
      <c r="X17" s="131" t="str">
        <f t="shared" si="11"/>
        <v/>
      </c>
      <c r="Y17" s="131" t="str">
        <f t="shared" si="12"/>
        <v/>
      </c>
      <c r="Z17" s="131" t="str">
        <f t="shared" si="13"/>
        <v/>
      </c>
      <c r="AA17" s="131" t="str">
        <f t="shared" si="14"/>
        <v/>
      </c>
      <c r="AB17" s="132" t="str">
        <f t="shared" si="15"/>
        <v/>
      </c>
    </row>
    <row r="18" spans="1:28" x14ac:dyDescent="0.25">
      <c r="A18" s="77">
        <v>15</v>
      </c>
      <c r="B18" s="127" t="str">
        <f>Projects!B17</f>
        <v>Project 15</v>
      </c>
      <c r="C18" s="11"/>
      <c r="D18" s="11"/>
      <c r="E18" s="11"/>
      <c r="F18" s="11"/>
      <c r="G18" s="11"/>
      <c r="H18" s="11"/>
      <c r="I18" s="11"/>
      <c r="J18" s="11"/>
      <c r="K18" s="11"/>
      <c r="L18" s="11"/>
      <c r="M18" s="11"/>
      <c r="N18" s="128" t="str">
        <f t="shared" si="2"/>
        <v>Enter L, M or H in each cell</v>
      </c>
      <c r="O18" s="129"/>
      <c r="P18" s="130">
        <f t="shared" si="3"/>
        <v>15</v>
      </c>
      <c r="Q18" s="131" t="str">
        <f t="shared" si="4"/>
        <v/>
      </c>
      <c r="R18" s="131" t="str">
        <f t="shared" si="5"/>
        <v/>
      </c>
      <c r="S18" s="131" t="str">
        <f t="shared" si="6"/>
        <v/>
      </c>
      <c r="T18" s="131" t="str">
        <f t="shared" si="7"/>
        <v/>
      </c>
      <c r="U18" s="131" t="str">
        <f t="shared" si="8"/>
        <v/>
      </c>
      <c r="V18" s="131" t="str">
        <f t="shared" si="9"/>
        <v/>
      </c>
      <c r="W18" s="131" t="str">
        <f t="shared" si="10"/>
        <v/>
      </c>
      <c r="X18" s="131" t="str">
        <f t="shared" si="11"/>
        <v/>
      </c>
      <c r="Y18" s="131" t="str">
        <f t="shared" si="12"/>
        <v/>
      </c>
      <c r="Z18" s="131" t="str">
        <f t="shared" si="13"/>
        <v/>
      </c>
      <c r="AA18" s="131" t="str">
        <f t="shared" si="14"/>
        <v/>
      </c>
      <c r="AB18" s="132" t="str">
        <f t="shared" si="15"/>
        <v/>
      </c>
    </row>
    <row r="19" spans="1:28" x14ac:dyDescent="0.25">
      <c r="A19" s="77">
        <v>16</v>
      </c>
      <c r="B19" s="127" t="str">
        <f>Projects!B18</f>
        <v>Project 16</v>
      </c>
      <c r="C19" s="11"/>
      <c r="D19" s="11"/>
      <c r="E19" s="11"/>
      <c r="F19" s="11"/>
      <c r="G19" s="11"/>
      <c r="H19" s="11"/>
      <c r="I19" s="11"/>
      <c r="J19" s="11"/>
      <c r="K19" s="11"/>
      <c r="L19" s="11"/>
      <c r="M19" s="11"/>
      <c r="N19" s="128" t="str">
        <f t="shared" si="2"/>
        <v>Enter L, M or H in each cell</v>
      </c>
      <c r="O19" s="129"/>
      <c r="P19" s="130">
        <f t="shared" si="3"/>
        <v>16</v>
      </c>
      <c r="Q19" s="131" t="str">
        <f t="shared" si="4"/>
        <v/>
      </c>
      <c r="R19" s="131" t="str">
        <f t="shared" si="5"/>
        <v/>
      </c>
      <c r="S19" s="131" t="str">
        <f t="shared" si="6"/>
        <v/>
      </c>
      <c r="T19" s="131" t="str">
        <f t="shared" si="7"/>
        <v/>
      </c>
      <c r="U19" s="131" t="str">
        <f t="shared" si="8"/>
        <v/>
      </c>
      <c r="V19" s="131" t="str">
        <f t="shared" si="9"/>
        <v/>
      </c>
      <c r="W19" s="131" t="str">
        <f t="shared" si="10"/>
        <v/>
      </c>
      <c r="X19" s="131" t="str">
        <f t="shared" si="11"/>
        <v/>
      </c>
      <c r="Y19" s="131" t="str">
        <f t="shared" si="12"/>
        <v/>
      </c>
      <c r="Z19" s="131" t="str">
        <f t="shared" si="13"/>
        <v/>
      </c>
      <c r="AA19" s="131" t="str">
        <f t="shared" si="14"/>
        <v/>
      </c>
      <c r="AB19" s="132" t="str">
        <f t="shared" si="15"/>
        <v/>
      </c>
    </row>
    <row r="20" spans="1:28" x14ac:dyDescent="0.25">
      <c r="A20" s="77">
        <v>17</v>
      </c>
      <c r="B20" s="127" t="str">
        <f>Projects!B19</f>
        <v>Project 17</v>
      </c>
      <c r="C20" s="11"/>
      <c r="D20" s="11"/>
      <c r="E20" s="11"/>
      <c r="F20" s="11"/>
      <c r="G20" s="11"/>
      <c r="H20" s="11"/>
      <c r="I20" s="11"/>
      <c r="J20" s="11"/>
      <c r="K20" s="11"/>
      <c r="L20" s="11"/>
      <c r="M20" s="11"/>
      <c r="N20" s="128" t="str">
        <f t="shared" si="2"/>
        <v>Enter L, M or H in each cell</v>
      </c>
      <c r="O20" s="129"/>
      <c r="P20" s="130">
        <f t="shared" si="3"/>
        <v>17</v>
      </c>
      <c r="Q20" s="131" t="str">
        <f t="shared" si="4"/>
        <v/>
      </c>
      <c r="R20" s="131" t="str">
        <f t="shared" si="5"/>
        <v/>
      </c>
      <c r="S20" s="131" t="str">
        <f t="shared" si="6"/>
        <v/>
      </c>
      <c r="T20" s="131" t="str">
        <f t="shared" si="7"/>
        <v/>
      </c>
      <c r="U20" s="131" t="str">
        <f t="shared" si="8"/>
        <v/>
      </c>
      <c r="V20" s="131" t="str">
        <f t="shared" si="9"/>
        <v/>
      </c>
      <c r="W20" s="131" t="str">
        <f t="shared" si="10"/>
        <v/>
      </c>
      <c r="X20" s="131" t="str">
        <f t="shared" si="11"/>
        <v/>
      </c>
      <c r="Y20" s="131" t="str">
        <f t="shared" si="12"/>
        <v/>
      </c>
      <c r="Z20" s="131" t="str">
        <f t="shared" si="13"/>
        <v/>
      </c>
      <c r="AA20" s="131" t="str">
        <f t="shared" si="14"/>
        <v/>
      </c>
      <c r="AB20" s="132" t="str">
        <f t="shared" si="15"/>
        <v/>
      </c>
    </row>
    <row r="21" spans="1:28" x14ac:dyDescent="0.25">
      <c r="A21" s="77">
        <v>18</v>
      </c>
      <c r="B21" s="127" t="str">
        <f>Projects!B20</f>
        <v>Project 18</v>
      </c>
      <c r="C21" s="11"/>
      <c r="D21" s="11"/>
      <c r="E21" s="11"/>
      <c r="F21" s="11"/>
      <c r="G21" s="11"/>
      <c r="H21" s="11"/>
      <c r="I21" s="11"/>
      <c r="J21" s="11"/>
      <c r="K21" s="11"/>
      <c r="L21" s="11"/>
      <c r="M21" s="11"/>
      <c r="N21" s="128" t="str">
        <f t="shared" si="2"/>
        <v>Enter L, M or H in each cell</v>
      </c>
      <c r="O21" s="129"/>
      <c r="P21" s="130">
        <f t="shared" si="3"/>
        <v>18</v>
      </c>
      <c r="Q21" s="131" t="str">
        <f t="shared" si="4"/>
        <v/>
      </c>
      <c r="R21" s="131" t="str">
        <f t="shared" si="5"/>
        <v/>
      </c>
      <c r="S21" s="131" t="str">
        <f t="shared" si="6"/>
        <v/>
      </c>
      <c r="T21" s="131" t="str">
        <f t="shared" si="7"/>
        <v/>
      </c>
      <c r="U21" s="131" t="str">
        <f t="shared" si="8"/>
        <v/>
      </c>
      <c r="V21" s="131" t="str">
        <f t="shared" si="9"/>
        <v/>
      </c>
      <c r="W21" s="131" t="str">
        <f t="shared" si="10"/>
        <v/>
      </c>
      <c r="X21" s="131" t="str">
        <f t="shared" si="11"/>
        <v/>
      </c>
      <c r="Y21" s="131" t="str">
        <f t="shared" si="12"/>
        <v/>
      </c>
      <c r="Z21" s="131" t="str">
        <f t="shared" si="13"/>
        <v/>
      </c>
      <c r="AA21" s="131" t="str">
        <f t="shared" si="14"/>
        <v/>
      </c>
      <c r="AB21" s="132" t="str">
        <f t="shared" si="15"/>
        <v/>
      </c>
    </row>
    <row r="22" spans="1:28" x14ac:dyDescent="0.25">
      <c r="A22" s="77">
        <v>19</v>
      </c>
      <c r="B22" s="127" t="str">
        <f>Projects!B21</f>
        <v>Project 19</v>
      </c>
      <c r="C22" s="11"/>
      <c r="D22" s="11"/>
      <c r="E22" s="11"/>
      <c r="F22" s="11"/>
      <c r="G22" s="11"/>
      <c r="H22" s="11"/>
      <c r="I22" s="11"/>
      <c r="J22" s="11"/>
      <c r="K22" s="11"/>
      <c r="L22" s="11"/>
      <c r="M22" s="11"/>
      <c r="N22" s="128" t="str">
        <f t="shared" si="2"/>
        <v>Enter L, M or H in each cell</v>
      </c>
      <c r="O22" s="129"/>
      <c r="P22" s="130">
        <f t="shared" si="3"/>
        <v>19</v>
      </c>
      <c r="Q22" s="131" t="str">
        <f t="shared" si="4"/>
        <v/>
      </c>
      <c r="R22" s="131" t="str">
        <f t="shared" si="5"/>
        <v/>
      </c>
      <c r="S22" s="131" t="str">
        <f t="shared" si="6"/>
        <v/>
      </c>
      <c r="T22" s="131" t="str">
        <f t="shared" si="7"/>
        <v/>
      </c>
      <c r="U22" s="131" t="str">
        <f t="shared" si="8"/>
        <v/>
      </c>
      <c r="V22" s="131" t="str">
        <f t="shared" si="9"/>
        <v/>
      </c>
      <c r="W22" s="131" t="str">
        <f t="shared" si="10"/>
        <v/>
      </c>
      <c r="X22" s="131" t="str">
        <f t="shared" si="11"/>
        <v/>
      </c>
      <c r="Y22" s="131" t="str">
        <f t="shared" si="12"/>
        <v/>
      </c>
      <c r="Z22" s="131" t="str">
        <f t="shared" si="13"/>
        <v/>
      </c>
      <c r="AA22" s="131" t="str">
        <f t="shared" si="14"/>
        <v/>
      </c>
      <c r="AB22" s="132" t="str">
        <f t="shared" si="15"/>
        <v/>
      </c>
    </row>
    <row r="23" spans="1:28" x14ac:dyDescent="0.25">
      <c r="A23" s="77">
        <v>20</v>
      </c>
      <c r="B23" s="127" t="str">
        <f>Projects!B22</f>
        <v>Project 20</v>
      </c>
      <c r="C23" s="11"/>
      <c r="D23" s="11"/>
      <c r="E23" s="11"/>
      <c r="F23" s="11"/>
      <c r="G23" s="11"/>
      <c r="H23" s="11"/>
      <c r="I23" s="11"/>
      <c r="J23" s="11"/>
      <c r="K23" s="11"/>
      <c r="L23" s="11"/>
      <c r="M23" s="11"/>
      <c r="N23" s="128" t="str">
        <f t="shared" si="2"/>
        <v>Enter L, M or H in each cell</v>
      </c>
      <c r="O23" s="129"/>
      <c r="P23" s="130">
        <f t="shared" si="3"/>
        <v>20</v>
      </c>
      <c r="Q23" s="131" t="str">
        <f t="shared" si="4"/>
        <v/>
      </c>
      <c r="R23" s="131" t="str">
        <f t="shared" si="5"/>
        <v/>
      </c>
      <c r="S23" s="131" t="str">
        <f t="shared" si="6"/>
        <v/>
      </c>
      <c r="T23" s="131" t="str">
        <f t="shared" si="7"/>
        <v/>
      </c>
      <c r="U23" s="131" t="str">
        <f t="shared" si="8"/>
        <v/>
      </c>
      <c r="V23" s="131" t="str">
        <f t="shared" si="9"/>
        <v/>
      </c>
      <c r="W23" s="131" t="str">
        <f t="shared" si="10"/>
        <v/>
      </c>
      <c r="X23" s="131" t="str">
        <f t="shared" si="11"/>
        <v/>
      </c>
      <c r="Y23" s="131" t="str">
        <f t="shared" si="12"/>
        <v/>
      </c>
      <c r="Z23" s="131" t="str">
        <f t="shared" si="13"/>
        <v/>
      </c>
      <c r="AA23" s="131" t="str">
        <f t="shared" si="14"/>
        <v/>
      </c>
      <c r="AB23" s="132" t="str">
        <f t="shared" si="15"/>
        <v/>
      </c>
    </row>
    <row r="24" spans="1:28" x14ac:dyDescent="0.25">
      <c r="A24" s="77">
        <v>21</v>
      </c>
      <c r="B24" s="127" t="str">
        <f>Projects!B23</f>
        <v>Project 21</v>
      </c>
      <c r="C24" s="11"/>
      <c r="D24" s="11"/>
      <c r="E24" s="11"/>
      <c r="F24" s="11"/>
      <c r="G24" s="11"/>
      <c r="H24" s="11"/>
      <c r="I24" s="11"/>
      <c r="J24" s="11"/>
      <c r="K24" s="11"/>
      <c r="L24" s="11"/>
      <c r="M24" s="11"/>
      <c r="N24" s="128" t="str">
        <f t="shared" si="2"/>
        <v>Enter L, M or H in each cell</v>
      </c>
      <c r="O24" s="129"/>
      <c r="P24" s="130">
        <f t="shared" si="3"/>
        <v>21</v>
      </c>
      <c r="Q24" s="131" t="str">
        <f t="shared" si="4"/>
        <v/>
      </c>
      <c r="R24" s="131" t="str">
        <f t="shared" si="5"/>
        <v/>
      </c>
      <c r="S24" s="131" t="str">
        <f t="shared" si="6"/>
        <v/>
      </c>
      <c r="T24" s="131" t="str">
        <f t="shared" si="7"/>
        <v/>
      </c>
      <c r="U24" s="131" t="str">
        <f t="shared" si="8"/>
        <v/>
      </c>
      <c r="V24" s="131" t="str">
        <f t="shared" si="9"/>
        <v/>
      </c>
      <c r="W24" s="131" t="str">
        <f t="shared" si="10"/>
        <v/>
      </c>
      <c r="X24" s="131" t="str">
        <f t="shared" si="11"/>
        <v/>
      </c>
      <c r="Y24" s="131" t="str">
        <f t="shared" si="12"/>
        <v/>
      </c>
      <c r="Z24" s="131" t="str">
        <f t="shared" si="13"/>
        <v/>
      </c>
      <c r="AA24" s="131" t="str">
        <f t="shared" si="14"/>
        <v/>
      </c>
      <c r="AB24" s="132" t="str">
        <f t="shared" si="15"/>
        <v/>
      </c>
    </row>
    <row r="25" spans="1:28" x14ac:dyDescent="0.25">
      <c r="A25" s="77">
        <v>22</v>
      </c>
      <c r="B25" s="127" t="str">
        <f>Projects!B24</f>
        <v>Project 22</v>
      </c>
      <c r="C25" s="11"/>
      <c r="D25" s="11"/>
      <c r="E25" s="11"/>
      <c r="F25" s="11"/>
      <c r="G25" s="11"/>
      <c r="H25" s="11"/>
      <c r="I25" s="11"/>
      <c r="J25" s="11"/>
      <c r="K25" s="11"/>
      <c r="L25" s="11"/>
      <c r="M25" s="11"/>
      <c r="N25" s="128" t="str">
        <f t="shared" si="2"/>
        <v>Enter L, M or H in each cell</v>
      </c>
      <c r="O25" s="129"/>
      <c r="P25" s="130">
        <f t="shared" si="3"/>
        <v>22</v>
      </c>
      <c r="Q25" s="131" t="str">
        <f t="shared" si="4"/>
        <v/>
      </c>
      <c r="R25" s="131" t="str">
        <f t="shared" si="5"/>
        <v/>
      </c>
      <c r="S25" s="131" t="str">
        <f t="shared" si="6"/>
        <v/>
      </c>
      <c r="T25" s="131" t="str">
        <f t="shared" si="7"/>
        <v/>
      </c>
      <c r="U25" s="131" t="str">
        <f t="shared" si="8"/>
        <v/>
      </c>
      <c r="V25" s="131" t="str">
        <f t="shared" si="9"/>
        <v/>
      </c>
      <c r="W25" s="131" t="str">
        <f t="shared" si="10"/>
        <v/>
      </c>
      <c r="X25" s="131" t="str">
        <f t="shared" si="11"/>
        <v/>
      </c>
      <c r="Y25" s="131" t="str">
        <f t="shared" si="12"/>
        <v/>
      </c>
      <c r="Z25" s="131" t="str">
        <f t="shared" si="13"/>
        <v/>
      </c>
      <c r="AA25" s="131" t="str">
        <f t="shared" si="14"/>
        <v/>
      </c>
      <c r="AB25" s="132" t="str">
        <f t="shared" si="15"/>
        <v/>
      </c>
    </row>
    <row r="26" spans="1:28" x14ac:dyDescent="0.25">
      <c r="A26" s="77">
        <v>23</v>
      </c>
      <c r="B26" s="127" t="str">
        <f>Projects!B25</f>
        <v>Project 23</v>
      </c>
      <c r="C26" s="11"/>
      <c r="D26" s="11"/>
      <c r="E26" s="11"/>
      <c r="F26" s="11"/>
      <c r="G26" s="11"/>
      <c r="H26" s="11"/>
      <c r="I26" s="11"/>
      <c r="J26" s="11"/>
      <c r="K26" s="11"/>
      <c r="L26" s="11"/>
      <c r="M26" s="11"/>
      <c r="N26" s="128" t="str">
        <f t="shared" si="2"/>
        <v>Enter L, M or H in each cell</v>
      </c>
      <c r="O26" s="129"/>
      <c r="P26" s="130">
        <f t="shared" si="3"/>
        <v>23</v>
      </c>
      <c r="Q26" s="131" t="str">
        <f t="shared" si="4"/>
        <v/>
      </c>
      <c r="R26" s="131" t="str">
        <f t="shared" si="5"/>
        <v/>
      </c>
      <c r="S26" s="131" t="str">
        <f t="shared" si="6"/>
        <v/>
      </c>
      <c r="T26" s="131" t="str">
        <f t="shared" si="7"/>
        <v/>
      </c>
      <c r="U26" s="131" t="str">
        <f t="shared" si="8"/>
        <v/>
      </c>
      <c r="V26" s="131" t="str">
        <f t="shared" si="9"/>
        <v/>
      </c>
      <c r="W26" s="131" t="str">
        <f t="shared" si="10"/>
        <v/>
      </c>
      <c r="X26" s="131" t="str">
        <f t="shared" si="11"/>
        <v/>
      </c>
      <c r="Y26" s="131" t="str">
        <f t="shared" si="12"/>
        <v/>
      </c>
      <c r="Z26" s="131" t="str">
        <f t="shared" si="13"/>
        <v/>
      </c>
      <c r="AA26" s="131" t="str">
        <f t="shared" si="14"/>
        <v/>
      </c>
      <c r="AB26" s="132" t="str">
        <f t="shared" si="15"/>
        <v/>
      </c>
    </row>
    <row r="27" spans="1:28" x14ac:dyDescent="0.25">
      <c r="A27" s="77">
        <v>24</v>
      </c>
      <c r="B27" s="127" t="str">
        <f>Projects!B26</f>
        <v>Project 24</v>
      </c>
      <c r="C27" s="11"/>
      <c r="D27" s="11"/>
      <c r="E27" s="11"/>
      <c r="F27" s="11"/>
      <c r="G27" s="11"/>
      <c r="H27" s="11"/>
      <c r="I27" s="11"/>
      <c r="J27" s="11"/>
      <c r="K27" s="11"/>
      <c r="L27" s="11"/>
      <c r="M27" s="11"/>
      <c r="N27" s="128" t="str">
        <f t="shared" si="2"/>
        <v>Enter L, M or H in each cell</v>
      </c>
      <c r="O27" s="129"/>
      <c r="P27" s="130">
        <f t="shared" si="3"/>
        <v>24</v>
      </c>
      <c r="Q27" s="131" t="str">
        <f t="shared" si="4"/>
        <v/>
      </c>
      <c r="R27" s="131" t="str">
        <f t="shared" si="5"/>
        <v/>
      </c>
      <c r="S27" s="131" t="str">
        <f t="shared" si="6"/>
        <v/>
      </c>
      <c r="T27" s="131" t="str">
        <f t="shared" si="7"/>
        <v/>
      </c>
      <c r="U27" s="131" t="str">
        <f t="shared" si="8"/>
        <v/>
      </c>
      <c r="V27" s="131" t="str">
        <f t="shared" si="9"/>
        <v/>
      </c>
      <c r="W27" s="131" t="str">
        <f t="shared" si="10"/>
        <v/>
      </c>
      <c r="X27" s="131" t="str">
        <f t="shared" si="11"/>
        <v/>
      </c>
      <c r="Y27" s="131" t="str">
        <f t="shared" si="12"/>
        <v/>
      </c>
      <c r="Z27" s="131" t="str">
        <f t="shared" si="13"/>
        <v/>
      </c>
      <c r="AA27" s="131" t="str">
        <f t="shared" si="14"/>
        <v/>
      </c>
      <c r="AB27" s="132" t="str">
        <f t="shared" si="15"/>
        <v/>
      </c>
    </row>
    <row r="28" spans="1:28" x14ac:dyDescent="0.25">
      <c r="A28" s="77">
        <v>25</v>
      </c>
      <c r="B28" s="127" t="str">
        <f>Projects!B27</f>
        <v>Project 25</v>
      </c>
      <c r="C28" s="11"/>
      <c r="D28" s="11"/>
      <c r="E28" s="11"/>
      <c r="F28" s="11"/>
      <c r="G28" s="11"/>
      <c r="H28" s="11"/>
      <c r="I28" s="11"/>
      <c r="J28" s="11"/>
      <c r="K28" s="11"/>
      <c r="L28" s="11"/>
      <c r="M28" s="11"/>
      <c r="N28" s="128" t="str">
        <f t="shared" si="2"/>
        <v>Enter L, M or H in each cell</v>
      </c>
      <c r="O28" s="129"/>
      <c r="P28" s="130">
        <f t="shared" si="3"/>
        <v>25</v>
      </c>
      <c r="Q28" s="131" t="str">
        <f t="shared" si="4"/>
        <v/>
      </c>
      <c r="R28" s="131" t="str">
        <f t="shared" si="5"/>
        <v/>
      </c>
      <c r="S28" s="131" t="str">
        <f t="shared" si="6"/>
        <v/>
      </c>
      <c r="T28" s="131" t="str">
        <f t="shared" si="7"/>
        <v/>
      </c>
      <c r="U28" s="131" t="str">
        <f t="shared" si="8"/>
        <v/>
      </c>
      <c r="V28" s="131" t="str">
        <f t="shared" si="9"/>
        <v/>
      </c>
      <c r="W28" s="131" t="str">
        <f t="shared" si="10"/>
        <v/>
      </c>
      <c r="X28" s="131" t="str">
        <f t="shared" si="11"/>
        <v/>
      </c>
      <c r="Y28" s="131" t="str">
        <f t="shared" si="12"/>
        <v/>
      </c>
      <c r="Z28" s="131" t="str">
        <f t="shared" si="13"/>
        <v/>
      </c>
      <c r="AA28" s="131" t="str">
        <f t="shared" si="14"/>
        <v/>
      </c>
      <c r="AB28" s="132" t="str">
        <f t="shared" si="15"/>
        <v/>
      </c>
    </row>
    <row r="29" spans="1:28" x14ac:dyDescent="0.25">
      <c r="B29" s="5" t="s">
        <v>227</v>
      </c>
      <c r="C29" s="75">
        <f>COUNTIF(C4:C28,"&gt;"&amp;"a")</f>
        <v>0</v>
      </c>
      <c r="D29" s="75">
        <f>COUNTIF(D4:D28,"&gt;"&amp;"a")</f>
        <v>0</v>
      </c>
      <c r="E29" s="75">
        <f>COUNTIF(E4:E28,"&gt;"&amp;"a")</f>
        <v>0</v>
      </c>
      <c r="F29" s="75">
        <f>COUNTIF(F4:F28,"&gt;"&amp;"a")</f>
        <v>0</v>
      </c>
      <c r="G29" s="75">
        <f>COUNTIF(G4:G28,"&gt;"&amp;"a")</f>
        <v>0</v>
      </c>
      <c r="H29" s="75">
        <f>COUNTIF(H4:H28,"&gt;"&amp;"a")</f>
        <v>0</v>
      </c>
      <c r="I29" s="75">
        <f>COUNTIF(I4:I28,"&gt;"&amp;"a")</f>
        <v>0</v>
      </c>
      <c r="J29" s="75">
        <f>COUNTIF(J4:J28,"&gt;"&amp;"a")</f>
        <v>0</v>
      </c>
      <c r="K29" s="75">
        <f>COUNTIF(K4:K28,"&gt;"&amp;"a")</f>
        <v>0</v>
      </c>
      <c r="L29" s="75">
        <f>COUNTIF(L4:L28,"&gt;"&amp;"a")</f>
        <v>0</v>
      </c>
      <c r="M29" s="75">
        <f>COUNTIF(M4:M28,"&gt;"&amp;"a")</f>
        <v>0</v>
      </c>
    </row>
  </sheetData>
  <conditionalFormatting sqref="Q3:AA3">
    <cfRule type="dataBar" priority="5">
      <dataBar>
        <cfvo type="min"/>
        <cfvo type="max"/>
        <color rgb="FF63C384"/>
      </dataBar>
      <extLst>
        <ext xmlns:x14="http://schemas.microsoft.com/office/spreadsheetml/2009/9/main" uri="{B025F937-C7B1-47D3-B67F-A62EFF666E3E}">
          <x14:id>{99DD1622-2F2B-4CDA-8A01-DD3F5C3F8301}</x14:id>
        </ext>
      </extLst>
    </cfRule>
  </conditionalFormatting>
  <conditionalFormatting sqref="AB4:AB28">
    <cfRule type="colorScale" priority="8">
      <colorScale>
        <cfvo type="min"/>
        <cfvo type="percentile" val="50"/>
        <cfvo type="max"/>
        <color rgb="FFF8696B"/>
        <color rgb="FFFFEB84"/>
        <color rgb="FF63BE7B"/>
      </colorScale>
    </cfRule>
  </conditionalFormatting>
  <conditionalFormatting sqref="Q4:AA28">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99DD1622-2F2B-4CDA-8A01-DD3F5C3F8301}">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8915-B558-4BFE-896E-05D522309BBB}">
  <sheetPr codeName="Sheet7">
    <tabColor theme="9" tint="0.79998168889431442"/>
  </sheetPr>
  <dimension ref="A1:AB14"/>
  <sheetViews>
    <sheetView zoomScaleNormal="100" workbookViewId="0">
      <pane ySplit="3" topLeftCell="A4" activePane="bottomLeft" state="frozen"/>
      <selection activeCell="B10" sqref="B10"/>
      <selection pane="bottomLeft" activeCell="C4" sqref="C4"/>
    </sheetView>
  </sheetViews>
  <sheetFormatPr defaultRowHeight="15" x14ac:dyDescent="0.25"/>
  <cols>
    <col min="1" max="1" width="5.42578125" style="126" customWidth="1"/>
    <col min="2" max="2" width="28.28515625" bestFit="1" customWidth="1"/>
    <col min="3" max="3" width="4.28515625" style="60" customWidth="1"/>
    <col min="4" max="13" width="4.28515625" customWidth="1"/>
    <col min="14" max="14" width="24.42578125" bestFit="1" customWidth="1"/>
    <col min="15" max="15" width="1.7109375" customWidth="1"/>
    <col min="17" max="27" width="4.28515625" customWidth="1"/>
  </cols>
  <sheetData>
    <row r="1" spans="1:28" x14ac:dyDescent="0.25">
      <c r="A1" s="133" t="s">
        <v>228</v>
      </c>
      <c r="D1" s="60"/>
      <c r="E1" s="60"/>
      <c r="F1" s="60"/>
      <c r="G1" s="60"/>
      <c r="H1" s="60"/>
      <c r="I1" s="60"/>
      <c r="J1" s="60"/>
      <c r="K1" s="60"/>
      <c r="L1" s="60"/>
      <c r="M1" s="60"/>
      <c r="O1" s="134"/>
      <c r="P1" s="133" t="s">
        <v>229</v>
      </c>
    </row>
    <row r="2" spans="1:28" ht="59.25" x14ac:dyDescent="0.25">
      <c r="A2" s="116" t="s">
        <v>181</v>
      </c>
      <c r="B2" s="11" t="s">
        <v>182</v>
      </c>
      <c r="C2" s="117" t="str">
        <f>Keywords!G6</f>
        <v>Keyword 1</v>
      </c>
      <c r="D2" s="117" t="str">
        <f>Keywords!H6</f>
        <v>Keyword 2</v>
      </c>
      <c r="E2" s="117" t="str">
        <f>Keywords!I6</f>
        <v>Keyword 3</v>
      </c>
      <c r="F2" s="117" t="str">
        <f>Keywords!J6</f>
        <v>Keyword 4</v>
      </c>
      <c r="G2" s="117" t="str">
        <f>Keywords!K6</f>
        <v>Keyword 5</v>
      </c>
      <c r="H2" s="117" t="str">
        <f>Keywords!L6</f>
        <v>Keyword 6</v>
      </c>
      <c r="I2" s="117" t="str">
        <f>Keywords!M6</f>
        <v>Keyword 7</v>
      </c>
      <c r="J2" s="117" t="str">
        <f>Keywords!N6</f>
        <v>Keyword 8</v>
      </c>
      <c r="K2" s="117" t="str">
        <f>Keywords!O6</f>
        <v>Keyword 9</v>
      </c>
      <c r="L2" s="117" t="str">
        <f>Keywords!P6</f>
        <v>Keyword 10</v>
      </c>
      <c r="M2" s="117" t="str">
        <f>Keywords!Q6</f>
        <v>Keyword 11</v>
      </c>
      <c r="N2" s="57" t="s">
        <v>225</v>
      </c>
      <c r="O2" s="134"/>
      <c r="P2" s="116" t="s">
        <v>181</v>
      </c>
      <c r="Q2" s="119" t="str">
        <f>C2</f>
        <v>Keyword 1</v>
      </c>
      <c r="R2" s="119" t="str">
        <f t="shared" ref="R2:AA2" si="0">D2</f>
        <v>Keyword 2</v>
      </c>
      <c r="S2" s="119" t="str">
        <f t="shared" si="0"/>
        <v>Keyword 3</v>
      </c>
      <c r="T2" s="119" t="str">
        <f t="shared" si="0"/>
        <v>Keyword 4</v>
      </c>
      <c r="U2" s="119" t="str">
        <f t="shared" si="0"/>
        <v>Keyword 5</v>
      </c>
      <c r="V2" s="119" t="str">
        <f t="shared" si="0"/>
        <v>Keyword 6</v>
      </c>
      <c r="W2" s="119" t="str">
        <f t="shared" si="0"/>
        <v>Keyword 7</v>
      </c>
      <c r="X2" s="119" t="str">
        <f t="shared" si="0"/>
        <v>Keyword 8</v>
      </c>
      <c r="Y2" s="119" t="str">
        <f t="shared" si="0"/>
        <v>Keyword 9</v>
      </c>
      <c r="Z2" s="119" t="str">
        <f t="shared" si="0"/>
        <v>Keyword 10</v>
      </c>
      <c r="AA2" s="119" t="str">
        <f t="shared" si="0"/>
        <v>Keyword 11</v>
      </c>
      <c r="AB2" t="s">
        <v>226</v>
      </c>
    </row>
    <row r="3" spans="1:28" x14ac:dyDescent="0.25">
      <c r="A3" s="120"/>
      <c r="B3" s="34" t="s">
        <v>230</v>
      </c>
      <c r="C3" s="75">
        <f>ROUND(('Project Keywords'!C29*'Competition Parameters'!$C$3-COUNTIF('Marker Expertise'!C4:C13,"&gt;"&amp;"@")*'Competition Parameters'!$C$4)/'Competition Parameters'!$C$4+0.5,0)</f>
        <v>1</v>
      </c>
      <c r="D3" s="75">
        <f>ROUND(('Project Keywords'!D29*'Competition Parameters'!$C$3-COUNTIF('Marker Expertise'!D4:D13,"&gt;"&amp;"@")*'Competition Parameters'!$C$4)/'Competition Parameters'!$C$4+0.5,0)</f>
        <v>1</v>
      </c>
      <c r="E3" s="75">
        <f>ROUND(('Project Keywords'!E29*'Competition Parameters'!$C$3-COUNTIF('Marker Expertise'!E4:E13,"&gt;"&amp;"@")*'Competition Parameters'!$C$4)/'Competition Parameters'!$C$4+0.5,0)</f>
        <v>1</v>
      </c>
      <c r="F3" s="75">
        <f>ROUND(('Project Keywords'!F29*'Competition Parameters'!$C$3-COUNTIF('Marker Expertise'!F4:F13,"&gt;"&amp;"@")*'Competition Parameters'!$C$4)/'Competition Parameters'!$C$4+0.5,0)</f>
        <v>1</v>
      </c>
      <c r="G3" s="75">
        <f>ROUND(('Project Keywords'!G29*'Competition Parameters'!$C$3-COUNTIF('Marker Expertise'!G4:G13,"&gt;"&amp;"@")*'Competition Parameters'!$C$4)/'Competition Parameters'!$C$4+0.5,0)</f>
        <v>1</v>
      </c>
      <c r="H3" s="75">
        <f>ROUND(('Project Keywords'!H29*'Competition Parameters'!$C$3-COUNTIF('Marker Expertise'!H4:H13,"&gt;"&amp;"@")*'Competition Parameters'!$C$4)/'Competition Parameters'!$C$4+0.5,0)</f>
        <v>1</v>
      </c>
      <c r="I3" s="75">
        <f>ROUND(('Project Keywords'!I29*'Competition Parameters'!$C$3-COUNTIF('Marker Expertise'!I4:I13,"&gt;"&amp;"@")*'Competition Parameters'!$C$4)/'Competition Parameters'!$C$4+0.5,0)</f>
        <v>1</v>
      </c>
      <c r="J3" s="75">
        <f>ROUND(('Project Keywords'!J29*'Competition Parameters'!$C$3-COUNTIF('Marker Expertise'!J4:J13,"&gt;"&amp;"@")*'Competition Parameters'!$C$4)/'Competition Parameters'!$C$4+0.5,0)</f>
        <v>1</v>
      </c>
      <c r="K3" s="75">
        <f>ROUND(('Project Keywords'!K29*'Competition Parameters'!$C$3-COUNTIF('Marker Expertise'!K4:K13,"&gt;"&amp;"@")*'Competition Parameters'!$C$4)/'Competition Parameters'!$C$4+0.5,0)</f>
        <v>1</v>
      </c>
      <c r="L3" s="75">
        <f>ROUND(('Project Keywords'!L29*'Competition Parameters'!$C$3-COUNTIF('Marker Expertise'!L4:L13,"&gt;"&amp;"@")*'Competition Parameters'!$C$4)/'Competition Parameters'!$C$4+0.5,0)</f>
        <v>1</v>
      </c>
      <c r="M3" s="75">
        <f>ROUND(('Project Keywords'!M29*'Competition Parameters'!$C$3-COUNTIF('Marker Expertise'!M4:M13,"&gt;"&amp;"@")*'Competition Parameters'!$C$4)/'Competition Parameters'!$C$4+0.5,0)</f>
        <v>1</v>
      </c>
      <c r="N3" s="135"/>
      <c r="O3" s="134"/>
      <c r="P3" s="126" t="s">
        <v>231</v>
      </c>
      <c r="Q3" s="125" t="str">
        <f>IF(COUNT(Q4:Q13)&gt;0,AVERAGE(Q4:Q13),"")</f>
        <v/>
      </c>
      <c r="R3" s="125" t="str">
        <f>IF(COUNT(R4:R13)&gt;0,AVERAGE(R4:R13),"")</f>
        <v/>
      </c>
      <c r="S3" s="125" t="str">
        <f>IF(COUNT(S4:S13)&gt;0,AVERAGE(S4:S13),"")</f>
        <v/>
      </c>
      <c r="T3" s="125" t="str">
        <f>IF(COUNT(T4:T13)&gt;0,AVERAGE(T4:T13),"")</f>
        <v/>
      </c>
      <c r="U3" s="125" t="str">
        <f>IF(COUNT(U4:U13)&gt;0,AVERAGE(U4:U13),"")</f>
        <v/>
      </c>
      <c r="V3" s="125" t="str">
        <f>IF(COUNT(V4:V13)&gt;0,AVERAGE(V4:V13),"")</f>
        <v/>
      </c>
      <c r="W3" s="125" t="str">
        <f>IF(COUNT(W4:W13)&gt;0,AVERAGE(W4:W13),"")</f>
        <v/>
      </c>
      <c r="X3" s="125" t="str">
        <f>IF(COUNT(X4:X13)&gt;0,AVERAGE(X4:X13),"")</f>
        <v/>
      </c>
      <c r="Y3" s="125" t="str">
        <f>IF(COUNT(Y4:Y13)&gt;0,AVERAGE(Y4:Y13),"")</f>
        <v/>
      </c>
      <c r="Z3" s="125" t="str">
        <f>IF(COUNT(Z4:Z13)&gt;0,AVERAGE(Z4:Z13),"")</f>
        <v/>
      </c>
      <c r="AA3" s="125" t="str">
        <f>IF(COUNT(AA4:AA13)&gt;0,AVERAGE(AA4:AA13),"")</f>
        <v/>
      </c>
      <c r="AB3" s="136" t="str">
        <f>IF(COUNT(Q3:AA3)&gt;0,AVERAGE(Q3:AA3),"")</f>
        <v/>
      </c>
    </row>
    <row r="4" spans="1:28" x14ac:dyDescent="0.25">
      <c r="A4" s="77">
        <f>IF(Markers!B2&gt;0,Markers!A2,"")</f>
        <v>1</v>
      </c>
      <c r="B4" s="127" t="str">
        <f>IF(LEN(Markers!B2)&gt;0,Markers!B2,"")</f>
        <v>Kristyn Sergio</v>
      </c>
      <c r="C4" s="11"/>
      <c r="D4" s="11"/>
      <c r="E4" s="11"/>
      <c r="F4" s="11"/>
      <c r="G4" s="11"/>
      <c r="H4" s="11"/>
      <c r="I4" s="11"/>
      <c r="J4" s="11"/>
      <c r="K4" s="11"/>
      <c r="L4" s="11"/>
      <c r="M4" s="11"/>
      <c r="N4" s="128"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34"/>
      <c r="P4" s="137">
        <f>A4</f>
        <v>1</v>
      </c>
      <c r="Q4" s="131" t="str">
        <f>IF(C4="","",IF(C4="L",1/3,IF(C4="M",2/3,1)))</f>
        <v/>
      </c>
      <c r="R4" s="131" t="str">
        <f t="shared" ref="R4:AA13" si="1">IF(D4="","",IF(D4="L",1/3,IF(D4="M",2/3,1)))</f>
        <v/>
      </c>
      <c r="S4" s="131" t="str">
        <f t="shared" si="1"/>
        <v/>
      </c>
      <c r="T4" s="131" t="str">
        <f t="shared" si="1"/>
        <v/>
      </c>
      <c r="U4" s="131" t="str">
        <f t="shared" si="1"/>
        <v/>
      </c>
      <c r="V4" s="131" t="str">
        <f t="shared" si="1"/>
        <v/>
      </c>
      <c r="W4" s="131" t="str">
        <f t="shared" si="1"/>
        <v/>
      </c>
      <c r="X4" s="131" t="str">
        <f t="shared" si="1"/>
        <v/>
      </c>
      <c r="Y4" s="131" t="str">
        <f t="shared" si="1"/>
        <v/>
      </c>
      <c r="Z4" s="131" t="str">
        <f t="shared" si="1"/>
        <v/>
      </c>
      <c r="AA4" s="131" t="str">
        <f t="shared" si="1"/>
        <v/>
      </c>
      <c r="AB4" s="136" t="str">
        <f>IF(COUNT(Q4:AA4)&gt;0,AVERAGE(Q4:AA4),"")</f>
        <v/>
      </c>
    </row>
    <row r="5" spans="1:28" x14ac:dyDescent="0.25">
      <c r="A5" s="77">
        <f>IF(Markers!B3&gt;0,Markers!A3,"")</f>
        <v>2</v>
      </c>
      <c r="B5" s="127" t="str">
        <f>IF(LEN(Markers!B3)&gt;0,Markers!B3,"")</f>
        <v>Chu Vanallen</v>
      </c>
      <c r="C5" s="11"/>
      <c r="D5" s="11"/>
      <c r="E5" s="11"/>
      <c r="F5" s="11"/>
      <c r="G5" s="11"/>
      <c r="H5" s="11"/>
      <c r="I5" s="11"/>
      <c r="J5" s="11"/>
      <c r="K5" s="11"/>
      <c r="L5" s="11"/>
      <c r="M5" s="11"/>
      <c r="N5" s="128" t="str">
        <f t="shared" ref="N5:N13" si="2">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34"/>
      <c r="P5" s="137">
        <f t="shared" ref="P5:P13" si="3">A5</f>
        <v>2</v>
      </c>
      <c r="Q5" s="131" t="str">
        <f t="shared" ref="Q5:Q13" si="4">IF(C5="","",IF(C5="L",1/3,IF(C5="M",2/3,1)))</f>
        <v/>
      </c>
      <c r="R5" s="131" t="str">
        <f t="shared" ref="R5:R13" si="5">IF(D5="","",IF(D5="L",1/3,IF(D5="M",2/3,1)))</f>
        <v/>
      </c>
      <c r="S5" s="131" t="str">
        <f t="shared" ref="S5:S13" si="6">IF(E5="","",IF(E5="L",1/3,IF(E5="M",2/3,1)))</f>
        <v/>
      </c>
      <c r="T5" s="131" t="str">
        <f t="shared" ref="T5:T13" si="7">IF(F5="","",IF(F5="L",1/3,IF(F5="M",2/3,1)))</f>
        <v/>
      </c>
      <c r="U5" s="131" t="str">
        <f t="shared" ref="U5:U13" si="8">IF(G5="","",IF(G5="L",1/3,IF(G5="M",2/3,1)))</f>
        <v/>
      </c>
      <c r="V5" s="131" t="str">
        <f t="shared" ref="V5:V13" si="9">IF(H5="","",IF(H5="L",1/3,IF(H5="M",2/3,1)))</f>
        <v/>
      </c>
      <c r="W5" s="131" t="str">
        <f t="shared" ref="W5:W13" si="10">IF(I5="","",IF(I5="L",1/3,IF(I5="M",2/3,1)))</f>
        <v/>
      </c>
      <c r="X5" s="131" t="str">
        <f t="shared" ref="X5:X13" si="11">IF(J5="","",IF(J5="L",1/3,IF(J5="M",2/3,1)))</f>
        <v/>
      </c>
      <c r="Y5" s="131" t="str">
        <f t="shared" ref="Y5:Y13" si="12">IF(K5="","",IF(K5="L",1/3,IF(K5="M",2/3,1)))</f>
        <v/>
      </c>
      <c r="Z5" s="131" t="str">
        <f t="shared" ref="Z5:Z13" si="13">IF(L5="","",IF(L5="L",1/3,IF(L5="M",2/3,1)))</f>
        <v/>
      </c>
      <c r="AA5" s="131" t="str">
        <f t="shared" ref="AA5:AA13" si="14">IF(M5="","",IF(M5="L",1/3,IF(M5="M",2/3,1)))</f>
        <v/>
      </c>
      <c r="AB5" s="136" t="str">
        <f t="shared" ref="AB5:AB13" si="15">IF(COUNT(Q5:AA5)&gt;0,AVERAGE(Q5:AA5),"")</f>
        <v/>
      </c>
    </row>
    <row r="6" spans="1:28" x14ac:dyDescent="0.25">
      <c r="A6" s="77">
        <f>IF(Markers!B4&gt;0,Markers!A4,"")</f>
        <v>3</v>
      </c>
      <c r="B6" s="127" t="str">
        <f>IF(LEN(Markers!B4)&gt;0,Markers!B4,"")</f>
        <v>Yetta Cisneros</v>
      </c>
      <c r="C6" s="11"/>
      <c r="D6" s="11"/>
      <c r="E6" s="11"/>
      <c r="F6" s="11"/>
      <c r="G6" s="11"/>
      <c r="H6" s="11"/>
      <c r="I6" s="11"/>
      <c r="J6" s="11"/>
      <c r="K6" s="11"/>
      <c r="L6" s="11"/>
      <c r="M6" s="11"/>
      <c r="N6" s="128" t="str">
        <f t="shared" si="2"/>
        <v>Enter L, M or H in each cell</v>
      </c>
      <c r="O6" s="134"/>
      <c r="P6" s="137">
        <f t="shared" si="3"/>
        <v>3</v>
      </c>
      <c r="Q6" s="131" t="str">
        <f t="shared" si="4"/>
        <v/>
      </c>
      <c r="R6" s="131" t="str">
        <f t="shared" si="5"/>
        <v/>
      </c>
      <c r="S6" s="131" t="str">
        <f t="shared" si="6"/>
        <v/>
      </c>
      <c r="T6" s="131" t="str">
        <f t="shared" si="7"/>
        <v/>
      </c>
      <c r="U6" s="131" t="str">
        <f t="shared" si="8"/>
        <v/>
      </c>
      <c r="V6" s="131" t="str">
        <f t="shared" si="9"/>
        <v/>
      </c>
      <c r="W6" s="131" t="str">
        <f t="shared" si="10"/>
        <v/>
      </c>
      <c r="X6" s="131" t="str">
        <f t="shared" si="11"/>
        <v/>
      </c>
      <c r="Y6" s="131" t="str">
        <f t="shared" si="12"/>
        <v/>
      </c>
      <c r="Z6" s="131" t="str">
        <f t="shared" si="13"/>
        <v/>
      </c>
      <c r="AA6" s="131" t="str">
        <f t="shared" si="14"/>
        <v/>
      </c>
      <c r="AB6" s="136" t="str">
        <f t="shared" si="15"/>
        <v/>
      </c>
    </row>
    <row r="7" spans="1:28" x14ac:dyDescent="0.25">
      <c r="A7" s="77">
        <f>IF(Markers!B5&gt;0,Markers!A5,"")</f>
        <v>4</v>
      </c>
      <c r="B7" s="127" t="str">
        <f>IF(LEN(Markers!B5)&gt;0,Markers!B5,"")</f>
        <v>Henriette Wilford</v>
      </c>
      <c r="C7" s="11"/>
      <c r="D7" s="11"/>
      <c r="E7" s="11"/>
      <c r="F7" s="11"/>
      <c r="G7" s="11"/>
      <c r="H7" s="11"/>
      <c r="I7" s="11"/>
      <c r="J7" s="11"/>
      <c r="K7" s="11"/>
      <c r="L7" s="11"/>
      <c r="M7" s="11"/>
      <c r="N7" s="128" t="str">
        <f t="shared" si="2"/>
        <v>Enter L, M or H in each cell</v>
      </c>
      <c r="O7" s="134"/>
      <c r="P7" s="137">
        <f t="shared" si="3"/>
        <v>4</v>
      </c>
      <c r="Q7" s="131" t="str">
        <f t="shared" si="4"/>
        <v/>
      </c>
      <c r="R7" s="131" t="str">
        <f t="shared" si="5"/>
        <v/>
      </c>
      <c r="S7" s="131" t="str">
        <f t="shared" si="6"/>
        <v/>
      </c>
      <c r="T7" s="131" t="str">
        <f t="shared" si="7"/>
        <v/>
      </c>
      <c r="U7" s="131" t="str">
        <f t="shared" si="8"/>
        <v/>
      </c>
      <c r="V7" s="131" t="str">
        <f t="shared" si="9"/>
        <v/>
      </c>
      <c r="W7" s="131" t="str">
        <f t="shared" si="10"/>
        <v/>
      </c>
      <c r="X7" s="131" t="str">
        <f t="shared" si="11"/>
        <v/>
      </c>
      <c r="Y7" s="131" t="str">
        <f t="shared" si="12"/>
        <v/>
      </c>
      <c r="Z7" s="131" t="str">
        <f t="shared" si="13"/>
        <v/>
      </c>
      <c r="AA7" s="131" t="str">
        <f t="shared" si="14"/>
        <v/>
      </c>
      <c r="AB7" s="136" t="str">
        <f t="shared" si="15"/>
        <v/>
      </c>
    </row>
    <row r="8" spans="1:28" x14ac:dyDescent="0.25">
      <c r="A8" s="77">
        <f>IF(Markers!B6&gt;0,Markers!A6,"")</f>
        <v>5</v>
      </c>
      <c r="B8" s="127" t="str">
        <f>IF(LEN(Markers!B6)&gt;0,Markers!B6,"")</f>
        <v>Era Vandervoort</v>
      </c>
      <c r="C8" s="11"/>
      <c r="D8" s="11"/>
      <c r="E8" s="11"/>
      <c r="F8" s="11"/>
      <c r="G8" s="11"/>
      <c r="H8" s="11"/>
      <c r="I8" s="11"/>
      <c r="J8" s="11"/>
      <c r="K8" s="11"/>
      <c r="L8" s="11"/>
      <c r="M8" s="11"/>
      <c r="N8" s="128" t="str">
        <f t="shared" si="2"/>
        <v>Enter L, M or H in each cell</v>
      </c>
      <c r="O8" s="134"/>
      <c r="P8" s="137">
        <f t="shared" si="3"/>
        <v>5</v>
      </c>
      <c r="Q8" s="131" t="str">
        <f t="shared" si="4"/>
        <v/>
      </c>
      <c r="R8" s="131" t="str">
        <f t="shared" si="5"/>
        <v/>
      </c>
      <c r="S8" s="131" t="str">
        <f t="shared" si="6"/>
        <v/>
      </c>
      <c r="T8" s="131" t="str">
        <f t="shared" si="7"/>
        <v/>
      </c>
      <c r="U8" s="131" t="str">
        <f t="shared" si="8"/>
        <v/>
      </c>
      <c r="V8" s="131" t="str">
        <f t="shared" si="9"/>
        <v/>
      </c>
      <c r="W8" s="131" t="str">
        <f t="shared" si="10"/>
        <v/>
      </c>
      <c r="X8" s="131" t="str">
        <f t="shared" si="11"/>
        <v/>
      </c>
      <c r="Y8" s="131" t="str">
        <f t="shared" si="12"/>
        <v/>
      </c>
      <c r="Z8" s="131" t="str">
        <f t="shared" si="13"/>
        <v/>
      </c>
      <c r="AA8" s="131" t="str">
        <f t="shared" si="14"/>
        <v/>
      </c>
      <c r="AB8" s="136" t="str">
        <f t="shared" si="15"/>
        <v/>
      </c>
    </row>
    <row r="9" spans="1:28" x14ac:dyDescent="0.25">
      <c r="A9" s="77">
        <f>IF(Markers!B7&gt;0,Markers!A7,"")</f>
        <v>6</v>
      </c>
      <c r="B9" s="127" t="str">
        <f>IF(LEN(Markers!B7)&gt;0,Markers!B7,"")</f>
        <v>Elmer Seawood</v>
      </c>
      <c r="C9" s="11"/>
      <c r="D9" s="11"/>
      <c r="E9" s="11"/>
      <c r="F9" s="11"/>
      <c r="G9" s="11"/>
      <c r="H9" s="11"/>
      <c r="I9" s="11"/>
      <c r="J9" s="11"/>
      <c r="K9" s="11"/>
      <c r="L9" s="11"/>
      <c r="M9" s="11"/>
      <c r="N9" s="128" t="str">
        <f t="shared" si="2"/>
        <v>Enter L, M or H in each cell</v>
      </c>
      <c r="O9" s="134"/>
      <c r="P9" s="137">
        <f t="shared" si="3"/>
        <v>6</v>
      </c>
      <c r="Q9" s="131" t="str">
        <f t="shared" si="4"/>
        <v/>
      </c>
      <c r="R9" s="131" t="str">
        <f t="shared" si="5"/>
        <v/>
      </c>
      <c r="S9" s="131" t="str">
        <f t="shared" si="6"/>
        <v/>
      </c>
      <c r="T9" s="131" t="str">
        <f t="shared" si="7"/>
        <v/>
      </c>
      <c r="U9" s="131" t="str">
        <f t="shared" si="8"/>
        <v/>
      </c>
      <c r="V9" s="131" t="str">
        <f t="shared" si="9"/>
        <v/>
      </c>
      <c r="W9" s="131" t="str">
        <f t="shared" si="10"/>
        <v/>
      </c>
      <c r="X9" s="131" t="str">
        <f t="shared" si="11"/>
        <v/>
      </c>
      <c r="Y9" s="131" t="str">
        <f t="shared" si="12"/>
        <v/>
      </c>
      <c r="Z9" s="131" t="str">
        <f t="shared" si="13"/>
        <v/>
      </c>
      <c r="AA9" s="131" t="str">
        <f t="shared" si="14"/>
        <v/>
      </c>
      <c r="AB9" s="136" t="str">
        <f t="shared" si="15"/>
        <v/>
      </c>
    </row>
    <row r="10" spans="1:28" x14ac:dyDescent="0.25">
      <c r="A10" s="77">
        <f>IF(Markers!B8&gt;0,Markers!A8,"")</f>
        <v>7</v>
      </c>
      <c r="B10" s="127" t="str">
        <f>IF(LEN(Markers!B8)&gt;0,Markers!B8,"")</f>
        <v>Aldo Range</v>
      </c>
      <c r="C10" s="11"/>
      <c r="D10" s="11"/>
      <c r="E10" s="11"/>
      <c r="F10" s="11"/>
      <c r="G10" s="11"/>
      <c r="H10" s="11"/>
      <c r="I10" s="11"/>
      <c r="J10" s="11"/>
      <c r="K10" s="11"/>
      <c r="L10" s="11"/>
      <c r="M10" s="11"/>
      <c r="N10" s="128" t="str">
        <f t="shared" si="2"/>
        <v>Enter L, M or H in each cell</v>
      </c>
      <c r="O10" s="134"/>
      <c r="P10" s="137">
        <f t="shared" si="3"/>
        <v>7</v>
      </c>
      <c r="Q10" s="131" t="str">
        <f t="shared" si="4"/>
        <v/>
      </c>
      <c r="R10" s="131" t="str">
        <f t="shared" si="5"/>
        <v/>
      </c>
      <c r="S10" s="131" t="str">
        <f t="shared" si="6"/>
        <v/>
      </c>
      <c r="T10" s="131" t="str">
        <f t="shared" si="7"/>
        <v/>
      </c>
      <c r="U10" s="131" t="str">
        <f t="shared" si="8"/>
        <v/>
      </c>
      <c r="V10" s="131" t="str">
        <f t="shared" si="9"/>
        <v/>
      </c>
      <c r="W10" s="131" t="str">
        <f t="shared" si="10"/>
        <v/>
      </c>
      <c r="X10" s="131" t="str">
        <f t="shared" si="11"/>
        <v/>
      </c>
      <c r="Y10" s="131" t="str">
        <f t="shared" si="12"/>
        <v/>
      </c>
      <c r="Z10" s="131" t="str">
        <f t="shared" si="13"/>
        <v/>
      </c>
      <c r="AA10" s="131" t="str">
        <f t="shared" si="14"/>
        <v/>
      </c>
      <c r="AB10" s="136" t="str">
        <f t="shared" si="15"/>
        <v/>
      </c>
    </row>
    <row r="11" spans="1:28" x14ac:dyDescent="0.25">
      <c r="A11" s="77">
        <f>IF(Markers!B9&gt;0,Markers!A9,"")</f>
        <v>8</v>
      </c>
      <c r="B11" s="127" t="str">
        <f>IF(LEN(Markers!B9)&gt;0,Markers!B9,"")</f>
        <v>Dena Demas</v>
      </c>
      <c r="C11" s="11"/>
      <c r="D11" s="11"/>
      <c r="E11" s="11"/>
      <c r="F11" s="11"/>
      <c r="G11" s="11"/>
      <c r="H11" s="11"/>
      <c r="I11" s="11"/>
      <c r="J11" s="11"/>
      <c r="K11" s="11"/>
      <c r="L11" s="11"/>
      <c r="M11" s="11"/>
      <c r="N11" s="128" t="str">
        <f t="shared" si="2"/>
        <v>Enter L, M or H in each cell</v>
      </c>
      <c r="O11" s="134"/>
      <c r="P11" s="137">
        <f t="shared" si="3"/>
        <v>8</v>
      </c>
      <c r="Q11" s="131" t="str">
        <f t="shared" si="4"/>
        <v/>
      </c>
      <c r="R11" s="131" t="str">
        <f t="shared" si="5"/>
        <v/>
      </c>
      <c r="S11" s="131" t="str">
        <f t="shared" si="6"/>
        <v/>
      </c>
      <c r="T11" s="131" t="str">
        <f t="shared" si="7"/>
        <v/>
      </c>
      <c r="U11" s="131" t="str">
        <f t="shared" si="8"/>
        <v/>
      </c>
      <c r="V11" s="131" t="str">
        <f t="shared" si="9"/>
        <v/>
      </c>
      <c r="W11" s="131" t="str">
        <f t="shared" si="10"/>
        <v/>
      </c>
      <c r="X11" s="131" t="str">
        <f t="shared" si="11"/>
        <v/>
      </c>
      <c r="Y11" s="131" t="str">
        <f t="shared" si="12"/>
        <v/>
      </c>
      <c r="Z11" s="131" t="str">
        <f t="shared" si="13"/>
        <v/>
      </c>
      <c r="AA11" s="131" t="str">
        <f t="shared" si="14"/>
        <v/>
      </c>
      <c r="AB11" s="136" t="str">
        <f t="shared" si="15"/>
        <v/>
      </c>
    </row>
    <row r="12" spans="1:28" x14ac:dyDescent="0.25">
      <c r="A12" s="77">
        <f>IF(Markers!B10&gt;0,Markers!A10,"")</f>
        <v>9</v>
      </c>
      <c r="B12" s="127" t="str">
        <f>IF(LEN(Markers!B10)&gt;0,Markers!B10,"")</f>
        <v>Gerard Cutright</v>
      </c>
      <c r="C12" s="11"/>
      <c r="D12" s="11"/>
      <c r="E12" s="11"/>
      <c r="F12" s="11"/>
      <c r="G12" s="11"/>
      <c r="H12" s="11"/>
      <c r="I12" s="11"/>
      <c r="J12" s="11"/>
      <c r="K12" s="11"/>
      <c r="L12" s="11"/>
      <c r="M12" s="11"/>
      <c r="N12" s="128" t="str">
        <f t="shared" si="2"/>
        <v>Enter L, M or H in each cell</v>
      </c>
      <c r="O12" s="134"/>
      <c r="P12" s="137">
        <f t="shared" si="3"/>
        <v>9</v>
      </c>
      <c r="Q12" s="131" t="str">
        <f t="shared" si="4"/>
        <v/>
      </c>
      <c r="R12" s="131" t="str">
        <f t="shared" si="5"/>
        <v/>
      </c>
      <c r="S12" s="131" t="str">
        <f t="shared" si="6"/>
        <v/>
      </c>
      <c r="T12" s="131" t="str">
        <f t="shared" si="7"/>
        <v/>
      </c>
      <c r="U12" s="131" t="str">
        <f t="shared" si="8"/>
        <v/>
      </c>
      <c r="V12" s="131" t="str">
        <f t="shared" si="9"/>
        <v/>
      </c>
      <c r="W12" s="131" t="str">
        <f t="shared" si="10"/>
        <v/>
      </c>
      <c r="X12" s="131" t="str">
        <f t="shared" si="11"/>
        <v/>
      </c>
      <c r="Y12" s="131" t="str">
        <f t="shared" si="12"/>
        <v/>
      </c>
      <c r="Z12" s="131" t="str">
        <f t="shared" si="13"/>
        <v/>
      </c>
      <c r="AA12" s="131" t="str">
        <f t="shared" si="14"/>
        <v/>
      </c>
      <c r="AB12" s="136" t="str">
        <f t="shared" si="15"/>
        <v/>
      </c>
    </row>
    <row r="13" spans="1:28" x14ac:dyDescent="0.25">
      <c r="A13" s="77">
        <f>IF(Markers!B11&gt;0,Markers!A11,"")</f>
        <v>10</v>
      </c>
      <c r="B13" s="127" t="str">
        <f>IF(LEN(Markers!B11)&gt;0,Markers!B11,"")</f>
        <v>Rueben Dagenhart</v>
      </c>
      <c r="C13" s="11"/>
      <c r="D13" s="11"/>
      <c r="E13" s="11"/>
      <c r="F13" s="11"/>
      <c r="G13" s="11"/>
      <c r="H13" s="11"/>
      <c r="I13" s="11"/>
      <c r="J13" s="11"/>
      <c r="K13" s="11"/>
      <c r="L13" s="11"/>
      <c r="M13" s="11"/>
      <c r="N13" s="128" t="str">
        <f t="shared" si="2"/>
        <v>Enter L, M or H in each cell</v>
      </c>
      <c r="O13" s="134"/>
      <c r="P13" s="137">
        <f t="shared" si="3"/>
        <v>10</v>
      </c>
      <c r="Q13" s="131" t="str">
        <f t="shared" si="4"/>
        <v/>
      </c>
      <c r="R13" s="131" t="str">
        <f t="shared" si="5"/>
        <v/>
      </c>
      <c r="S13" s="131" t="str">
        <f t="shared" si="6"/>
        <v/>
      </c>
      <c r="T13" s="131" t="str">
        <f t="shared" si="7"/>
        <v/>
      </c>
      <c r="U13" s="131" t="str">
        <f t="shared" si="8"/>
        <v/>
      </c>
      <c r="V13" s="131" t="str">
        <f t="shared" si="9"/>
        <v/>
      </c>
      <c r="W13" s="131" t="str">
        <f t="shared" si="10"/>
        <v/>
      </c>
      <c r="X13" s="131" t="str">
        <f t="shared" si="11"/>
        <v/>
      </c>
      <c r="Y13" s="131" t="str">
        <f t="shared" si="12"/>
        <v/>
      </c>
      <c r="Z13" s="131" t="str">
        <f t="shared" si="13"/>
        <v/>
      </c>
      <c r="AA13" s="131" t="str">
        <f t="shared" si="14"/>
        <v/>
      </c>
      <c r="AB13" s="136" t="str">
        <f t="shared" si="15"/>
        <v/>
      </c>
    </row>
    <row r="14" spans="1:28" x14ac:dyDescent="0.25">
      <c r="D14" s="60"/>
    </row>
  </sheetData>
  <conditionalFormatting sqref="Q3:AA3">
    <cfRule type="dataBar" priority="11">
      <dataBar>
        <cfvo type="min"/>
        <cfvo type="max"/>
        <color rgb="FF63C384"/>
      </dataBar>
      <extLst>
        <ext xmlns:x14="http://schemas.microsoft.com/office/spreadsheetml/2009/9/main" uri="{B025F937-C7B1-47D3-B67F-A62EFF666E3E}">
          <x14:id>{A2F17B16-E661-45AE-924B-B8B2BE10F70E}</x14:id>
        </ext>
      </extLst>
    </cfRule>
  </conditionalFormatting>
  <conditionalFormatting sqref="Q4:AA13">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A2F17B16-E661-45AE-924B-B8B2BE10F70E}">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EACD-2ACB-4D26-A9E2-24C4C8B01E8D}">
  <sheetPr codeName="Sheet13">
    <tabColor theme="9" tint="0.79998168889431442"/>
  </sheetPr>
  <dimension ref="A1:N95"/>
  <sheetViews>
    <sheetView zoomScaleNormal="100" workbookViewId="0">
      <pane xSplit="3" ySplit="3" topLeftCell="D4" activePane="bottomRight" state="frozen"/>
      <selection activeCell="B10" sqref="B10"/>
      <selection pane="topRight" activeCell="B10" sqref="B10"/>
      <selection pane="bottomLeft" activeCell="B10" sqref="B10"/>
      <selection pane="bottomRight" activeCell="D4" sqref="D4"/>
    </sheetView>
  </sheetViews>
  <sheetFormatPr defaultRowHeight="15" x14ac:dyDescent="0.25"/>
  <cols>
    <col min="1" max="1" width="9.140625" style="4"/>
    <col min="3" max="3" width="23.85546875" bestFit="1" customWidth="1"/>
    <col min="4" max="4" width="7.140625" customWidth="1"/>
    <col min="5" max="6" width="6.5703125" bestFit="1" customWidth="1"/>
    <col min="7" max="7" width="7.7109375" bestFit="1" customWidth="1"/>
    <col min="8" max="8" width="6.7109375" bestFit="1" customWidth="1"/>
    <col min="9" max="9" width="6.85546875" bestFit="1" customWidth="1"/>
    <col min="10" max="10" width="6.42578125" bestFit="1" customWidth="1"/>
    <col min="11" max="12" width="7" bestFit="1" customWidth="1"/>
    <col min="13" max="13" width="7.85546875" bestFit="1" customWidth="1"/>
    <col min="14" max="493" width="9.140625" customWidth="1"/>
  </cols>
  <sheetData>
    <row r="1" spans="1:14" x14ac:dyDescent="0.25">
      <c r="A1" s="16"/>
      <c r="B1" s="11"/>
      <c r="C1" s="138" t="s">
        <v>181</v>
      </c>
      <c r="D1" s="77">
        <v>1</v>
      </c>
      <c r="E1" s="77">
        <v>2</v>
      </c>
      <c r="F1" s="77">
        <v>3</v>
      </c>
      <c r="G1" s="77">
        <v>4</v>
      </c>
      <c r="H1" s="77">
        <v>5</v>
      </c>
      <c r="I1" s="77">
        <v>6</v>
      </c>
      <c r="J1" s="77">
        <v>7</v>
      </c>
      <c r="K1" s="77">
        <v>8</v>
      </c>
      <c r="L1" s="77">
        <v>9</v>
      </c>
      <c r="M1" s="77">
        <v>10</v>
      </c>
      <c r="N1" s="139"/>
    </row>
    <row r="2" spans="1:14" x14ac:dyDescent="0.25">
      <c r="A2" s="16"/>
      <c r="B2" s="11"/>
      <c r="C2" s="140" t="s">
        <v>232</v>
      </c>
      <c r="D2" s="141">
        <f>IF(COUNTIF(D4:D28,"&gt;"&amp;0),AVERAGE(D4:D28),"")</f>
        <v>0.44444444444444448</v>
      </c>
      <c r="E2" s="141">
        <f>IF(COUNTIF(E4:E28,"&gt;"&amp;0),AVERAGE(E4:E28),"")</f>
        <v>0.54761904761904756</v>
      </c>
      <c r="F2" s="141">
        <f>IF(COUNTIF(F4:F28,"&gt;"&amp;0),AVERAGE(F4:F28),"")</f>
        <v>0.43333333333333329</v>
      </c>
      <c r="G2" s="141">
        <f>IF(COUNTIF(G4:G28,"&gt;"&amp;0),AVERAGE(G4:G28),"")</f>
        <v>0.44444444444444448</v>
      </c>
      <c r="H2" s="141">
        <f>IF(COUNTIF(H4:H28,"&gt;"&amp;0),AVERAGE(H4:H28),"")</f>
        <v>0.41025641025641024</v>
      </c>
      <c r="I2" s="141">
        <f>IF(COUNTIF(I4:I28,"&gt;"&amp;0),AVERAGE(I4:I28),"")</f>
        <v>0.39393939393939392</v>
      </c>
      <c r="J2" s="141">
        <f>IF(COUNTIF(J4:J28,"&gt;"&amp;0),AVERAGE(J4:J28),"")</f>
        <v>0.41025641025641024</v>
      </c>
      <c r="K2" s="141">
        <f>IF(COUNTIF(K4:K28,"&gt;"&amp;0),AVERAGE(K4:K28),"")</f>
        <v>0.44444444444444448</v>
      </c>
      <c r="L2" s="141">
        <f>IF(COUNTIF(L4:L28,"&gt;"&amp;0),AVERAGE(L4:L28),"")</f>
        <v>0.48888888888888882</v>
      </c>
      <c r="M2" s="141">
        <f>IF(COUNTIF(M4:M28,"&gt;"&amp;0),AVERAGE(M4:M28),"")</f>
        <v>0.39999999999999997</v>
      </c>
      <c r="N2" s="142"/>
    </row>
    <row r="3" spans="1:14" ht="49.5" customHeight="1" x14ac:dyDescent="0.25">
      <c r="A3" s="61" t="s">
        <v>69</v>
      </c>
      <c r="B3" s="11" t="s">
        <v>232</v>
      </c>
      <c r="C3" s="143" t="s">
        <v>233</v>
      </c>
      <c r="D3" s="144" t="str">
        <f>VLOOKUP(D1,Markers!$A:$B,2,FALSE)</f>
        <v>Kristyn Sergio</v>
      </c>
      <c r="E3" s="144" t="str">
        <f>VLOOKUP(E1,Markers!$A:$B,2,FALSE)</f>
        <v>Chu Vanallen</v>
      </c>
      <c r="F3" s="144" t="str">
        <f>VLOOKUP(F1,Markers!$A:$B,2,FALSE)</f>
        <v>Yetta Cisneros</v>
      </c>
      <c r="G3" s="144" t="str">
        <f>VLOOKUP(G1,Markers!$A:$B,2,FALSE)</f>
        <v>Henriette Wilford</v>
      </c>
      <c r="H3" s="144" t="str">
        <f>VLOOKUP(H1,Markers!$A:$B,2,FALSE)</f>
        <v>Era Vandervoort</v>
      </c>
      <c r="I3" s="144" t="str">
        <f>VLOOKUP(I1,Markers!$A:$B,2,FALSE)</f>
        <v>Elmer Seawood</v>
      </c>
      <c r="J3" s="144" t="str">
        <f>VLOOKUP(J1,Markers!$A:$B,2,FALSE)</f>
        <v>Aldo Range</v>
      </c>
      <c r="K3" s="144" t="str">
        <f>VLOOKUP(K1,Markers!$A:$B,2,FALSE)</f>
        <v>Dena Demas</v>
      </c>
      <c r="L3" s="144" t="str">
        <f>VLOOKUP(L1,Markers!$A:$B,2,FALSE)</f>
        <v>Gerard Cutright</v>
      </c>
      <c r="M3" s="144" t="str">
        <f>VLOOKUP(M1,Markers!$A:$B,2,FALSE)</f>
        <v>Rueben Dagenhart</v>
      </c>
      <c r="N3" s="142"/>
    </row>
    <row r="4" spans="1:14" x14ac:dyDescent="0.25">
      <c r="A4" s="64">
        <v>1</v>
      </c>
      <c r="B4" s="141">
        <f>IF(COUNTIF(D4:M4,"&gt;"&amp;0),AVERAGE(D4:M4),"")</f>
        <v>0.33333333333333331</v>
      </c>
      <c r="C4" s="145" t="str">
        <f>VLOOKUP(A4,Projects!A:B,2,FALSE)</f>
        <v>Project 1</v>
      </c>
      <c r="D4" s="467" t="s">
        <v>238</v>
      </c>
      <c r="E4" s="146"/>
      <c r="F4" s="146">
        <v>0.33333333333333331</v>
      </c>
      <c r="G4" s="146"/>
      <c r="H4" s="146">
        <v>0.33333333333333331</v>
      </c>
      <c r="I4" s="146"/>
      <c r="J4" s="146"/>
      <c r="K4" s="146"/>
      <c r="L4" s="146">
        <v>0.33333333333333331</v>
      </c>
      <c r="M4" s="146">
        <v>0.33333333333333331</v>
      </c>
      <c r="N4" s="12"/>
    </row>
    <row r="5" spans="1:14" x14ac:dyDescent="0.25">
      <c r="A5" s="64">
        <v>2</v>
      </c>
      <c r="B5" s="141">
        <f t="shared" ref="B5:B28" si="0">IF(COUNTIF(D5:M5,"&gt;"&amp;0),AVERAGE(D5:M5),"")</f>
        <v>0.33333333333333331</v>
      </c>
      <c r="C5" s="145" t="str">
        <f>VLOOKUP(A5,Projects!A:B,2,FALSE)</f>
        <v>Project 2</v>
      </c>
      <c r="D5" s="146">
        <v>0.33333333333333331</v>
      </c>
      <c r="E5" s="146" t="s">
        <v>238</v>
      </c>
      <c r="F5" s="146"/>
      <c r="G5" s="146">
        <v>0.33333333333333331</v>
      </c>
      <c r="H5" s="146">
        <v>0.33333333333333331</v>
      </c>
      <c r="I5" s="146"/>
      <c r="J5" s="146">
        <v>0.33333333333333331</v>
      </c>
      <c r="K5" s="146"/>
      <c r="L5" s="146"/>
      <c r="M5" s="146">
        <v>0.33333333333333331</v>
      </c>
    </row>
    <row r="6" spans="1:14" x14ac:dyDescent="0.25">
      <c r="A6" s="64">
        <v>3</v>
      </c>
      <c r="B6" s="141">
        <f t="shared" si="0"/>
        <v>0.42857142857142855</v>
      </c>
      <c r="C6" s="145" t="str">
        <f>VLOOKUP(A6,Projects!A:B,2,FALSE)</f>
        <v>Project 3</v>
      </c>
      <c r="D6" s="146">
        <v>0.33333333333333331</v>
      </c>
      <c r="E6" s="146">
        <v>0.33333333333333331</v>
      </c>
      <c r="F6" s="146" t="s">
        <v>238</v>
      </c>
      <c r="G6" s="146"/>
      <c r="H6" s="146">
        <v>0.33333333333333331</v>
      </c>
      <c r="I6" s="146">
        <v>0.33333333333333331</v>
      </c>
      <c r="J6" s="146">
        <v>0.66666666666666663</v>
      </c>
      <c r="K6" s="146">
        <v>0.33333333333333331</v>
      </c>
      <c r="L6" s="146"/>
      <c r="M6" s="146">
        <v>0.66666666666666663</v>
      </c>
    </row>
    <row r="7" spans="1:14" x14ac:dyDescent="0.25">
      <c r="A7" s="64">
        <v>4</v>
      </c>
      <c r="B7" s="141">
        <f t="shared" si="0"/>
        <v>0.33333333333333331</v>
      </c>
      <c r="C7" s="145" t="str">
        <f>VLOOKUP(A7,Projects!A:B,2,FALSE)</f>
        <v>Project 4</v>
      </c>
      <c r="D7" s="146">
        <v>0.33333333333333331</v>
      </c>
      <c r="E7" s="146">
        <v>0.33333333333333331</v>
      </c>
      <c r="F7" s="146"/>
      <c r="G7" s="146" t="s">
        <v>238</v>
      </c>
      <c r="H7" s="146">
        <v>0.33333333333333331</v>
      </c>
      <c r="I7" s="146">
        <v>0.33333333333333331</v>
      </c>
      <c r="J7" s="146">
        <v>0.33333333333333331</v>
      </c>
      <c r="K7" s="146"/>
      <c r="L7" s="146">
        <v>0.33333333333333331</v>
      </c>
      <c r="M7" s="146">
        <v>0.33333333333333331</v>
      </c>
    </row>
    <row r="8" spans="1:14" x14ac:dyDescent="0.25">
      <c r="A8" s="64">
        <v>5</v>
      </c>
      <c r="B8" s="141">
        <f t="shared" si="0"/>
        <v>0.33333333333333331</v>
      </c>
      <c r="C8" s="145" t="str">
        <f>VLOOKUP(A8,Projects!A:B,2,FALSE)</f>
        <v>Project 5</v>
      </c>
      <c r="D8" s="146"/>
      <c r="E8" s="146"/>
      <c r="F8" s="146">
        <v>0.33333333333333331</v>
      </c>
      <c r="G8" s="146">
        <v>0.33333333333333331</v>
      </c>
      <c r="H8" s="146" t="s">
        <v>238</v>
      </c>
      <c r="I8" s="146">
        <v>0.33333333333333331</v>
      </c>
      <c r="J8" s="146"/>
      <c r="K8" s="146"/>
      <c r="L8" s="146"/>
      <c r="M8" s="146">
        <v>0.33333333333333331</v>
      </c>
    </row>
    <row r="9" spans="1:14" x14ac:dyDescent="0.25">
      <c r="A9" s="64">
        <v>6</v>
      </c>
      <c r="B9" s="141">
        <f t="shared" si="0"/>
        <v>0.5</v>
      </c>
      <c r="C9" s="145" t="str">
        <f>VLOOKUP(A9,Projects!A:B,2,FALSE)</f>
        <v>Project 6</v>
      </c>
      <c r="D9" s="146"/>
      <c r="E9" s="146">
        <v>0.33333333333333331</v>
      </c>
      <c r="F9" s="146"/>
      <c r="G9" s="146">
        <v>0.66666666666666663</v>
      </c>
      <c r="H9" s="146"/>
      <c r="I9" s="146" t="s">
        <v>238</v>
      </c>
      <c r="J9" s="146">
        <v>0.33333333333333331</v>
      </c>
      <c r="K9" s="146">
        <v>0.33333333333333331</v>
      </c>
      <c r="L9" s="146">
        <v>1</v>
      </c>
      <c r="M9" s="146">
        <v>0.33333333333333331</v>
      </c>
    </row>
    <row r="10" spans="1:14" x14ac:dyDescent="0.25">
      <c r="A10" s="64">
        <v>7</v>
      </c>
      <c r="B10" s="141">
        <f t="shared" si="0"/>
        <v>0.33333333333333331</v>
      </c>
      <c r="C10" s="145" t="str">
        <f>VLOOKUP(A10,Projects!A:B,2,FALSE)</f>
        <v>Project 7</v>
      </c>
      <c r="D10" s="146">
        <v>0.33333333333333331</v>
      </c>
      <c r="E10" s="146">
        <v>0.33333333333333331</v>
      </c>
      <c r="F10" s="146"/>
      <c r="G10" s="146"/>
      <c r="H10" s="146">
        <v>0.33333333333333331</v>
      </c>
      <c r="I10" s="146">
        <v>0.33333333333333331</v>
      </c>
      <c r="J10" s="146">
        <v>0.33333333333333331</v>
      </c>
      <c r="K10" s="146"/>
      <c r="L10" s="146"/>
      <c r="M10" s="146"/>
    </row>
    <row r="11" spans="1:14" x14ac:dyDescent="0.25">
      <c r="A11" s="64">
        <v>8</v>
      </c>
      <c r="B11" s="141">
        <f t="shared" si="0"/>
        <v>0.41666666666666663</v>
      </c>
      <c r="C11" s="145" t="str">
        <f>VLOOKUP(A11,Projects!A:B,2,FALSE)</f>
        <v>Project 8</v>
      </c>
      <c r="D11" s="146"/>
      <c r="E11" s="146"/>
      <c r="F11" s="146"/>
      <c r="G11" s="146">
        <v>0.33333333333333331</v>
      </c>
      <c r="H11" s="146"/>
      <c r="I11" s="146">
        <v>0.66666666666666663</v>
      </c>
      <c r="J11" s="146">
        <v>0.33333333333333331</v>
      </c>
      <c r="K11" s="146" t="s">
        <v>238</v>
      </c>
      <c r="L11" s="146"/>
      <c r="M11" s="146">
        <v>0.33333333333333331</v>
      </c>
    </row>
    <row r="12" spans="1:14" x14ac:dyDescent="0.25">
      <c r="A12" s="64">
        <v>9</v>
      </c>
      <c r="B12" s="141">
        <f t="shared" si="0"/>
        <v>0.33333333333333331</v>
      </c>
      <c r="C12" s="145" t="str">
        <f>VLOOKUP(A12,Projects!A:B,2,FALSE)</f>
        <v>Project 9</v>
      </c>
      <c r="D12" s="146">
        <v>0.33333333333333331</v>
      </c>
      <c r="E12" s="146"/>
      <c r="F12" s="146"/>
      <c r="G12" s="146"/>
      <c r="H12" s="146"/>
      <c r="I12" s="146"/>
      <c r="J12" s="146">
        <v>0.33333333333333331</v>
      </c>
      <c r="K12" s="146"/>
      <c r="L12" s="146" t="s">
        <v>238</v>
      </c>
      <c r="M12" s="146">
        <v>0.33333333333333331</v>
      </c>
    </row>
    <row r="13" spans="1:14" x14ac:dyDescent="0.25">
      <c r="A13" s="64">
        <v>10</v>
      </c>
      <c r="B13" s="141">
        <f t="shared" si="0"/>
        <v>0.66666666666666663</v>
      </c>
      <c r="C13" s="145" t="str">
        <f>VLOOKUP(A13,Projects!A:B,2,FALSE)</f>
        <v>Project 10</v>
      </c>
      <c r="D13" s="146">
        <v>0.66666666666666663</v>
      </c>
      <c r="E13" s="146">
        <v>0.66666666666666663</v>
      </c>
      <c r="F13" s="146"/>
      <c r="G13" s="146"/>
      <c r="H13" s="146"/>
      <c r="I13" s="146"/>
      <c r="J13" s="146"/>
      <c r="K13" s="146"/>
      <c r="L13" s="146"/>
      <c r="M13" s="146" t="s">
        <v>238</v>
      </c>
    </row>
    <row r="14" spans="1:14" x14ac:dyDescent="0.25">
      <c r="A14" s="64">
        <v>11</v>
      </c>
      <c r="B14" s="141">
        <f t="shared" si="0"/>
        <v>0.5714285714285714</v>
      </c>
      <c r="C14" s="145" t="str">
        <f>VLOOKUP(A14,Projects!A:B,2,FALSE)</f>
        <v>Project 11</v>
      </c>
      <c r="D14" s="146" t="s">
        <v>238</v>
      </c>
      <c r="E14" s="146">
        <v>0.66666666666666663</v>
      </c>
      <c r="F14" s="146">
        <v>0.66666666666666663</v>
      </c>
      <c r="G14" s="146">
        <v>0.66666666666666663</v>
      </c>
      <c r="H14" s="146">
        <v>1</v>
      </c>
      <c r="I14" s="146"/>
      <c r="J14" s="146"/>
      <c r="K14" s="146">
        <v>0.33333333333333331</v>
      </c>
      <c r="L14" s="146">
        <v>0.33333333333333331</v>
      </c>
      <c r="M14" s="146">
        <v>0.33333333333333331</v>
      </c>
    </row>
    <row r="15" spans="1:14" x14ac:dyDescent="0.25">
      <c r="A15" s="64">
        <v>12</v>
      </c>
      <c r="B15" s="141">
        <f t="shared" si="0"/>
        <v>0.59999999999999987</v>
      </c>
      <c r="C15" s="145" t="str">
        <f>VLOOKUP(A15,Projects!A:B,2,FALSE)</f>
        <v>Project 12</v>
      </c>
      <c r="D15" s="146">
        <v>0.33333333333333331</v>
      </c>
      <c r="E15" s="146" t="s">
        <v>238</v>
      </c>
      <c r="F15" s="146">
        <v>1</v>
      </c>
      <c r="G15" s="146">
        <v>0.33333333333333331</v>
      </c>
      <c r="H15" s="146"/>
      <c r="I15" s="146"/>
      <c r="J15" s="146"/>
      <c r="K15" s="146"/>
      <c r="L15" s="146">
        <v>0.66666666666666663</v>
      </c>
      <c r="M15" s="146">
        <v>0.66666666666666663</v>
      </c>
    </row>
    <row r="16" spans="1:14" x14ac:dyDescent="0.25">
      <c r="A16" s="64">
        <v>13</v>
      </c>
      <c r="B16" s="141">
        <f t="shared" si="0"/>
        <v>0.39999999999999997</v>
      </c>
      <c r="C16" s="145" t="str">
        <f>VLOOKUP(A16,Projects!A:B,2,FALSE)</f>
        <v>Project 13</v>
      </c>
      <c r="D16" s="146"/>
      <c r="E16" s="146">
        <v>0.33333333333333331</v>
      </c>
      <c r="F16" s="146" t="s">
        <v>238</v>
      </c>
      <c r="G16" s="146">
        <v>0.33333333333333331</v>
      </c>
      <c r="H16" s="146"/>
      <c r="I16" s="146"/>
      <c r="J16" s="146">
        <v>0.33333333333333331</v>
      </c>
      <c r="K16" s="146">
        <v>0.66666666666666663</v>
      </c>
      <c r="L16" s="146">
        <v>0.33333333333333331</v>
      </c>
      <c r="M16" s="146"/>
    </row>
    <row r="17" spans="1:13" x14ac:dyDescent="0.25">
      <c r="A17" s="64">
        <v>14</v>
      </c>
      <c r="B17" s="141">
        <f t="shared" si="0"/>
        <v>0.46666666666666662</v>
      </c>
      <c r="C17" s="145" t="str">
        <f>VLOOKUP(A17,Projects!A:B,2,FALSE)</f>
        <v>Project 14</v>
      </c>
      <c r="D17" s="146">
        <v>0.33333333333333331</v>
      </c>
      <c r="E17" s="146">
        <v>1</v>
      </c>
      <c r="F17" s="146">
        <v>0.33333333333333331</v>
      </c>
      <c r="G17" s="146" t="s">
        <v>238</v>
      </c>
      <c r="H17" s="146"/>
      <c r="I17" s="146"/>
      <c r="J17" s="146"/>
      <c r="K17" s="146">
        <v>0.33333333333333331</v>
      </c>
      <c r="L17" s="146">
        <v>0.33333333333333331</v>
      </c>
      <c r="M17" s="146"/>
    </row>
    <row r="18" spans="1:13" x14ac:dyDescent="0.25">
      <c r="A18" s="64">
        <v>15</v>
      </c>
      <c r="B18" s="141">
        <f t="shared" si="0"/>
        <v>0.52380952380952384</v>
      </c>
      <c r="C18" s="145" t="str">
        <f>VLOOKUP(A18,Projects!A:B,2,FALSE)</f>
        <v>Project 15</v>
      </c>
      <c r="D18" s="146">
        <v>0.66666666666666663</v>
      </c>
      <c r="E18" s="146">
        <v>0.66666666666666663</v>
      </c>
      <c r="F18" s="146"/>
      <c r="G18" s="146">
        <v>0.33333333333333331</v>
      </c>
      <c r="H18" s="146">
        <v>0.33333333333333331</v>
      </c>
      <c r="I18" s="146"/>
      <c r="J18" s="146">
        <v>0.66666666666666663</v>
      </c>
      <c r="K18" s="146">
        <v>0.33333333333333331</v>
      </c>
      <c r="L18" s="146">
        <v>0.66666666666666663</v>
      </c>
      <c r="M18" s="146"/>
    </row>
    <row r="19" spans="1:13" x14ac:dyDescent="0.25">
      <c r="A19" s="64">
        <v>16</v>
      </c>
      <c r="B19" s="141">
        <f t="shared" si="0"/>
        <v>0.55555555555555547</v>
      </c>
      <c r="C19" s="145" t="str">
        <f>VLOOKUP(A19,Projects!A:B,2,FALSE)</f>
        <v>Project 16</v>
      </c>
      <c r="D19" s="146">
        <v>0.33333333333333331</v>
      </c>
      <c r="E19" s="146"/>
      <c r="F19" s="146"/>
      <c r="G19" s="146"/>
      <c r="H19" s="146"/>
      <c r="I19" s="146" t="s">
        <v>238</v>
      </c>
      <c r="J19" s="146"/>
      <c r="K19" s="146">
        <v>0.66666666666666663</v>
      </c>
      <c r="L19" s="146">
        <v>0.66666666666666663</v>
      </c>
      <c r="M19" s="146"/>
    </row>
    <row r="20" spans="1:13" x14ac:dyDescent="0.25">
      <c r="A20" s="64">
        <v>17</v>
      </c>
      <c r="B20" s="141">
        <f t="shared" si="0"/>
        <v>0.33333333333333331</v>
      </c>
      <c r="C20" s="145" t="str">
        <f>VLOOKUP(A20,Projects!A:B,2,FALSE)</f>
        <v>Project 17</v>
      </c>
      <c r="D20" s="146"/>
      <c r="E20" s="146">
        <v>0.33333333333333331</v>
      </c>
      <c r="F20" s="146"/>
      <c r="G20" s="146">
        <v>0.33333333333333331</v>
      </c>
      <c r="H20" s="146">
        <v>0.33333333333333331</v>
      </c>
      <c r="I20" s="146">
        <v>0.33333333333333331</v>
      </c>
      <c r="J20" s="146" t="s">
        <v>238</v>
      </c>
      <c r="K20" s="146"/>
      <c r="L20" s="146">
        <v>0.33333333333333331</v>
      </c>
      <c r="M20" s="146">
        <v>0.33333333333333331</v>
      </c>
    </row>
    <row r="21" spans="1:13" x14ac:dyDescent="0.25">
      <c r="A21" s="64">
        <v>18</v>
      </c>
      <c r="B21" s="141">
        <f t="shared" si="0"/>
        <v>0.47619047619047622</v>
      </c>
      <c r="C21" s="145" t="str">
        <f>VLOOKUP(A21,Projects!A:B,2,FALSE)</f>
        <v>Project 18</v>
      </c>
      <c r="D21" s="146">
        <v>0.66666666666666663</v>
      </c>
      <c r="E21" s="146">
        <v>1</v>
      </c>
      <c r="F21" s="146">
        <v>0.33333333333333331</v>
      </c>
      <c r="G21" s="146">
        <v>0.33333333333333331</v>
      </c>
      <c r="H21" s="146"/>
      <c r="I21" s="146">
        <v>0.33333333333333331</v>
      </c>
      <c r="J21" s="146">
        <v>0.33333333333333331</v>
      </c>
      <c r="K21" s="146" t="s">
        <v>238</v>
      </c>
      <c r="L21" s="146">
        <v>0.33333333333333331</v>
      </c>
      <c r="M21" s="146"/>
    </row>
    <row r="22" spans="1:13" x14ac:dyDescent="0.25">
      <c r="A22" s="64">
        <v>19</v>
      </c>
      <c r="B22" s="141">
        <f t="shared" si="0"/>
        <v>0.42857142857142855</v>
      </c>
      <c r="C22" s="145" t="str">
        <f>VLOOKUP(A22,Projects!A:B,2,FALSE)</f>
        <v>Project 19</v>
      </c>
      <c r="D22" s="146">
        <v>0.66666666666666663</v>
      </c>
      <c r="E22" s="146"/>
      <c r="F22" s="146">
        <v>0.33333333333333331</v>
      </c>
      <c r="G22" s="146">
        <v>0.66666666666666663</v>
      </c>
      <c r="H22" s="146">
        <v>0.33333333333333331</v>
      </c>
      <c r="I22" s="146">
        <v>0.33333333333333331</v>
      </c>
      <c r="J22" s="146"/>
      <c r="K22" s="146">
        <v>0.33333333333333331</v>
      </c>
      <c r="L22" s="146" t="s">
        <v>238</v>
      </c>
      <c r="M22" s="146">
        <v>0.33333333333333331</v>
      </c>
    </row>
    <row r="23" spans="1:13" x14ac:dyDescent="0.25">
      <c r="A23" s="64">
        <v>20</v>
      </c>
      <c r="B23" s="141">
        <f t="shared" si="0"/>
        <v>0.5714285714285714</v>
      </c>
      <c r="C23" s="145" t="str">
        <f>VLOOKUP(A23,Projects!A:B,2,FALSE)</f>
        <v>Project 20</v>
      </c>
      <c r="D23" s="146"/>
      <c r="E23" s="146">
        <v>0.33333333333333331</v>
      </c>
      <c r="F23" s="146">
        <v>0.33333333333333331</v>
      </c>
      <c r="G23" s="146">
        <v>0.66666666666666663</v>
      </c>
      <c r="H23" s="146">
        <v>0.33333333333333331</v>
      </c>
      <c r="I23" s="146">
        <v>0.66666666666666663</v>
      </c>
      <c r="J23" s="146">
        <v>0.66666666666666663</v>
      </c>
      <c r="K23" s="146"/>
      <c r="L23" s="146">
        <v>1</v>
      </c>
      <c r="M23" s="146" t="s">
        <v>238</v>
      </c>
    </row>
    <row r="24" spans="1:13" x14ac:dyDescent="0.25">
      <c r="A24" s="64">
        <v>21</v>
      </c>
      <c r="B24" s="141">
        <f t="shared" si="0"/>
        <v>0.33333333333333331</v>
      </c>
      <c r="C24" s="145" t="str">
        <f>VLOOKUP(A24,Projects!A:B,2,FALSE)</f>
        <v>Project 21</v>
      </c>
      <c r="D24" s="146" t="s">
        <v>238</v>
      </c>
      <c r="E24" s="146"/>
      <c r="F24" s="146">
        <v>0.33333333333333331</v>
      </c>
      <c r="G24" s="146"/>
      <c r="H24" s="146"/>
      <c r="I24" s="146"/>
      <c r="J24" s="146">
        <v>0.33333333333333331</v>
      </c>
      <c r="K24" s="146">
        <v>0.33333333333333331</v>
      </c>
      <c r="L24" s="146"/>
      <c r="M24" s="146"/>
    </row>
    <row r="25" spans="1:13" x14ac:dyDescent="0.25">
      <c r="A25" s="64">
        <v>22</v>
      </c>
      <c r="B25" s="141">
        <f t="shared" si="0"/>
        <v>0.49999999999999994</v>
      </c>
      <c r="C25" s="145" t="str">
        <f>VLOOKUP(A25,Projects!A:B,2,FALSE)</f>
        <v>Project 22</v>
      </c>
      <c r="D25" s="146">
        <v>0.66666666666666663</v>
      </c>
      <c r="E25" s="146" t="s">
        <v>238</v>
      </c>
      <c r="F25" s="146"/>
      <c r="G25" s="146">
        <v>0.33333333333333331</v>
      </c>
      <c r="H25" s="146">
        <v>0.66666666666666663</v>
      </c>
      <c r="I25" s="146"/>
      <c r="J25" s="146"/>
      <c r="K25" s="146">
        <v>0.33333333333333331</v>
      </c>
      <c r="L25" s="146">
        <v>0.33333333333333331</v>
      </c>
      <c r="M25" s="146">
        <v>0.66666666666666663</v>
      </c>
    </row>
    <row r="26" spans="1:13" x14ac:dyDescent="0.25">
      <c r="A26" s="64">
        <v>23</v>
      </c>
      <c r="B26" s="141">
        <f t="shared" si="0"/>
        <v>0.5</v>
      </c>
      <c r="C26" s="145" t="str">
        <f>VLOOKUP(A26,Projects!A:B,2,FALSE)</f>
        <v>Project 23</v>
      </c>
      <c r="D26" s="146"/>
      <c r="E26" s="146">
        <v>1</v>
      </c>
      <c r="F26" s="146" t="s">
        <v>238</v>
      </c>
      <c r="G26" s="146">
        <v>0.66666666666666663</v>
      </c>
      <c r="H26" s="146">
        <v>0.33333333333333331</v>
      </c>
      <c r="I26" s="146">
        <v>0.33333333333333331</v>
      </c>
      <c r="J26" s="146">
        <v>0.33333333333333331</v>
      </c>
      <c r="K26" s="146">
        <v>0.66666666666666663</v>
      </c>
      <c r="L26" s="146">
        <v>0.33333333333333331</v>
      </c>
      <c r="M26" s="146">
        <v>0.33333333333333331</v>
      </c>
    </row>
    <row r="27" spans="1:13" x14ac:dyDescent="0.25">
      <c r="A27" s="64">
        <v>24</v>
      </c>
      <c r="B27" s="141">
        <f t="shared" si="0"/>
        <v>0.33333333333333331</v>
      </c>
      <c r="C27" s="145" t="str">
        <f>VLOOKUP(A27,Projects!A:B,2,FALSE)</f>
        <v>Project 24</v>
      </c>
      <c r="D27" s="146">
        <v>0.33333333333333331</v>
      </c>
      <c r="E27" s="146">
        <v>0.33333333333333331</v>
      </c>
      <c r="F27" s="146">
        <v>0.33333333333333331</v>
      </c>
      <c r="G27" s="146" t="s">
        <v>238</v>
      </c>
      <c r="H27" s="146">
        <v>0.33333333333333331</v>
      </c>
      <c r="I27" s="146">
        <v>0.33333333333333331</v>
      </c>
      <c r="J27" s="146"/>
      <c r="K27" s="146"/>
      <c r="L27" s="146">
        <v>0.33333333333333331</v>
      </c>
      <c r="M27" s="146"/>
    </row>
    <row r="28" spans="1:13" x14ac:dyDescent="0.25">
      <c r="A28" s="64">
        <v>25</v>
      </c>
      <c r="B28" s="141">
        <f t="shared" si="0"/>
        <v>0.41666666666666663</v>
      </c>
      <c r="C28" s="145" t="str">
        <f>VLOOKUP(A28,Projects!A:B,2,FALSE)</f>
        <v>Project 25</v>
      </c>
      <c r="D28" s="146">
        <v>0.33333333333333331</v>
      </c>
      <c r="E28" s="146"/>
      <c r="F28" s="146"/>
      <c r="G28" s="146">
        <v>0.33333333333333331</v>
      </c>
      <c r="H28" s="146" t="s">
        <v>238</v>
      </c>
      <c r="I28" s="146"/>
      <c r="J28" s="146"/>
      <c r="K28" s="146">
        <v>0.66666666666666663</v>
      </c>
      <c r="L28" s="146"/>
      <c r="M28" s="146">
        <v>0.33333333333333331</v>
      </c>
    </row>
    <row r="29" spans="1:13" x14ac:dyDescent="0.25">
      <c r="A29" s="147"/>
      <c r="B29" s="148"/>
      <c r="C29" s="148"/>
      <c r="D29" s="15"/>
    </row>
    <row r="30" spans="1:13" x14ac:dyDescent="0.25">
      <c r="B30" s="149"/>
      <c r="C30" s="149"/>
    </row>
    <row r="31" spans="1:13" x14ac:dyDescent="0.25">
      <c r="B31" s="149"/>
      <c r="C31" s="149"/>
    </row>
    <row r="32" spans="1:13" x14ac:dyDescent="0.25">
      <c r="B32" s="149"/>
      <c r="C32" s="149"/>
    </row>
    <row r="33" spans="2:3" x14ac:dyDescent="0.25">
      <c r="B33" s="149"/>
      <c r="C33" s="149"/>
    </row>
    <row r="34" spans="2:3" x14ac:dyDescent="0.25">
      <c r="B34" s="149"/>
      <c r="C34" s="149"/>
    </row>
    <row r="35" spans="2:3" x14ac:dyDescent="0.25">
      <c r="B35" s="149"/>
      <c r="C35" s="149"/>
    </row>
    <row r="36" spans="2:3" x14ac:dyDescent="0.25">
      <c r="B36" s="149"/>
      <c r="C36" s="149"/>
    </row>
    <row r="37" spans="2:3" x14ac:dyDescent="0.25">
      <c r="B37" s="149"/>
      <c r="C37" s="149"/>
    </row>
    <row r="38" spans="2:3" x14ac:dyDescent="0.25">
      <c r="B38" s="149"/>
      <c r="C38" s="149"/>
    </row>
    <row r="39" spans="2:3" x14ac:dyDescent="0.25">
      <c r="B39" s="149"/>
      <c r="C39" s="149"/>
    </row>
    <row r="40" spans="2:3" x14ac:dyDescent="0.25">
      <c r="B40" s="149"/>
      <c r="C40" s="149"/>
    </row>
    <row r="41" spans="2:3" x14ac:dyDescent="0.25">
      <c r="B41" s="149"/>
      <c r="C41" s="149"/>
    </row>
    <row r="42" spans="2:3" x14ac:dyDescent="0.25">
      <c r="B42" s="149"/>
      <c r="C42" s="149"/>
    </row>
    <row r="43" spans="2:3" x14ac:dyDescent="0.25">
      <c r="B43" s="149"/>
      <c r="C43" s="149"/>
    </row>
    <row r="44" spans="2:3" x14ac:dyDescent="0.25">
      <c r="B44" s="149"/>
      <c r="C44" s="149"/>
    </row>
    <row r="45" spans="2:3" x14ac:dyDescent="0.25">
      <c r="B45" s="149"/>
      <c r="C45" s="149"/>
    </row>
    <row r="46" spans="2:3" x14ac:dyDescent="0.25">
      <c r="B46" s="149"/>
      <c r="C46" s="149"/>
    </row>
    <row r="47" spans="2:3" x14ac:dyDescent="0.25">
      <c r="B47" s="149"/>
      <c r="C47" s="149"/>
    </row>
    <row r="48" spans="2:3" x14ac:dyDescent="0.25">
      <c r="B48" s="149"/>
      <c r="C48" s="149"/>
    </row>
    <row r="49" spans="2:3" x14ac:dyDescent="0.25">
      <c r="B49" s="149"/>
      <c r="C49" s="149"/>
    </row>
    <row r="50" spans="2:3" x14ac:dyDescent="0.25">
      <c r="B50" s="149"/>
      <c r="C50" s="149"/>
    </row>
    <row r="51" spans="2:3" x14ac:dyDescent="0.25">
      <c r="B51" s="149"/>
      <c r="C51" s="149"/>
    </row>
    <row r="52" spans="2:3" x14ac:dyDescent="0.25">
      <c r="B52" s="149"/>
      <c r="C52" s="149"/>
    </row>
    <row r="53" spans="2:3" x14ac:dyDescent="0.25">
      <c r="B53" s="149"/>
      <c r="C53" s="149"/>
    </row>
    <row r="54" spans="2:3" x14ac:dyDescent="0.25">
      <c r="B54" s="149"/>
      <c r="C54" s="149"/>
    </row>
    <row r="55" spans="2:3" x14ac:dyDescent="0.25">
      <c r="B55" s="149"/>
      <c r="C55" s="149"/>
    </row>
    <row r="56" spans="2:3" x14ac:dyDescent="0.25">
      <c r="B56" s="149"/>
      <c r="C56" s="149"/>
    </row>
    <row r="57" spans="2:3" x14ac:dyDescent="0.25">
      <c r="B57" s="149"/>
      <c r="C57" s="149"/>
    </row>
    <row r="58" spans="2:3" x14ac:dyDescent="0.25">
      <c r="B58" s="149"/>
      <c r="C58" s="149"/>
    </row>
    <row r="59" spans="2:3" x14ac:dyDescent="0.25">
      <c r="B59" s="149"/>
      <c r="C59" s="149"/>
    </row>
    <row r="60" spans="2:3" x14ac:dyDescent="0.25">
      <c r="B60" s="149"/>
      <c r="C60" s="149"/>
    </row>
    <row r="61" spans="2:3" x14ac:dyDescent="0.25">
      <c r="B61" s="149"/>
      <c r="C61" s="149"/>
    </row>
    <row r="62" spans="2:3" x14ac:dyDescent="0.25">
      <c r="B62" s="149"/>
      <c r="C62" s="149"/>
    </row>
    <row r="63" spans="2:3" x14ac:dyDescent="0.25">
      <c r="B63" s="149"/>
      <c r="C63" s="149"/>
    </row>
    <row r="64" spans="2:3" x14ac:dyDescent="0.25">
      <c r="B64" s="149"/>
      <c r="C64" s="149"/>
    </row>
    <row r="65" spans="2:3" x14ac:dyDescent="0.25">
      <c r="B65" s="149"/>
      <c r="C65" s="149"/>
    </row>
    <row r="66" spans="2:3" x14ac:dyDescent="0.25">
      <c r="B66" s="149"/>
      <c r="C66" s="149"/>
    </row>
    <row r="67" spans="2:3" x14ac:dyDescent="0.25">
      <c r="B67" s="149"/>
      <c r="C67" s="149"/>
    </row>
    <row r="68" spans="2:3" x14ac:dyDescent="0.25">
      <c r="B68" s="149"/>
      <c r="C68" s="149"/>
    </row>
    <row r="69" spans="2:3" x14ac:dyDescent="0.25">
      <c r="B69" s="149"/>
      <c r="C69" s="149"/>
    </row>
    <row r="70" spans="2:3" x14ac:dyDescent="0.25">
      <c r="B70" s="149"/>
      <c r="C70" s="149"/>
    </row>
    <row r="71" spans="2:3" x14ac:dyDescent="0.25">
      <c r="B71" s="149"/>
      <c r="C71" s="149"/>
    </row>
    <row r="72" spans="2:3" x14ac:dyDescent="0.25">
      <c r="B72" s="149"/>
      <c r="C72" s="149"/>
    </row>
    <row r="73" spans="2:3" x14ac:dyDescent="0.25">
      <c r="B73" s="149"/>
      <c r="C73" s="149"/>
    </row>
    <row r="74" spans="2:3" x14ac:dyDescent="0.25">
      <c r="B74" s="149"/>
      <c r="C74" s="149"/>
    </row>
    <row r="75" spans="2:3" x14ac:dyDescent="0.25">
      <c r="B75" s="149"/>
      <c r="C75" s="149"/>
    </row>
    <row r="76" spans="2:3" x14ac:dyDescent="0.25">
      <c r="B76" s="149"/>
      <c r="C76" s="149"/>
    </row>
    <row r="77" spans="2:3" x14ac:dyDescent="0.25">
      <c r="B77" s="149"/>
      <c r="C77" s="149"/>
    </row>
    <row r="78" spans="2:3" x14ac:dyDescent="0.25">
      <c r="B78" s="149"/>
      <c r="C78" s="149"/>
    </row>
    <row r="79" spans="2:3" x14ac:dyDescent="0.25">
      <c r="B79" s="149"/>
      <c r="C79" s="149"/>
    </row>
    <row r="80" spans="2:3" x14ac:dyDescent="0.25">
      <c r="B80" s="149"/>
      <c r="C80" s="149"/>
    </row>
    <row r="81" spans="2:3" x14ac:dyDescent="0.25">
      <c r="B81" s="149"/>
      <c r="C81" s="149"/>
    </row>
    <row r="82" spans="2:3" x14ac:dyDescent="0.25">
      <c r="B82" s="149"/>
      <c r="C82" s="149"/>
    </row>
    <row r="83" spans="2:3" x14ac:dyDescent="0.25">
      <c r="B83" s="149"/>
      <c r="C83" s="149"/>
    </row>
    <row r="84" spans="2:3" x14ac:dyDescent="0.25">
      <c r="B84" s="149"/>
      <c r="C84" s="149"/>
    </row>
    <row r="85" spans="2:3" x14ac:dyDescent="0.25">
      <c r="B85" s="149"/>
      <c r="C85" s="149"/>
    </row>
    <row r="86" spans="2:3" x14ac:dyDescent="0.25">
      <c r="B86" s="149"/>
      <c r="C86" s="149"/>
    </row>
    <row r="87" spans="2:3" x14ac:dyDescent="0.25">
      <c r="B87" s="149"/>
      <c r="C87" s="149"/>
    </row>
    <row r="88" spans="2:3" x14ac:dyDescent="0.25">
      <c r="B88" s="149"/>
      <c r="C88" s="149"/>
    </row>
    <row r="89" spans="2:3" x14ac:dyDescent="0.25">
      <c r="B89" s="149"/>
      <c r="C89" s="149"/>
    </row>
    <row r="90" spans="2:3" x14ac:dyDescent="0.25">
      <c r="B90" s="149"/>
      <c r="C90" s="149"/>
    </row>
    <row r="91" spans="2:3" x14ac:dyDescent="0.25">
      <c r="B91" s="149"/>
      <c r="C91" s="149"/>
    </row>
    <row r="92" spans="2:3" x14ac:dyDescent="0.25">
      <c r="B92" s="149"/>
      <c r="C92" s="149"/>
    </row>
    <row r="93" spans="2:3" x14ac:dyDescent="0.25">
      <c r="B93" s="149"/>
      <c r="C93" s="149"/>
    </row>
    <row r="94" spans="2:3" x14ac:dyDescent="0.25">
      <c r="B94" s="149"/>
      <c r="C94" s="149"/>
    </row>
    <row r="95" spans="2:3" x14ac:dyDescent="0.25">
      <c r="B95" s="149"/>
      <c r="C95" s="149"/>
    </row>
  </sheetData>
  <conditionalFormatting sqref="D2:N3">
    <cfRule type="colorScale" priority="15">
      <colorScale>
        <cfvo type="min"/>
        <cfvo type="max"/>
        <color rgb="FFFFEF9C"/>
        <color rgb="FF63BE7B"/>
      </colorScale>
    </cfRule>
  </conditionalFormatting>
  <conditionalFormatting sqref="B4:C95">
    <cfRule type="colorScale" priority="18">
      <colorScale>
        <cfvo type="min"/>
        <cfvo type="max"/>
        <color rgb="FFFFEF9C"/>
        <color rgb="FF63BE7B"/>
      </colorScale>
    </cfRule>
  </conditionalFormatting>
  <conditionalFormatting sqref="D4:M28">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EC027-1893-4541-80E2-A0FC77CF0A7C}">
  <sheetPr codeName="Sheet31">
    <tabColor theme="9" tint="0.79998168889431442"/>
  </sheetPr>
  <dimension ref="A1:DF206"/>
  <sheetViews>
    <sheetView topLeftCell="C1" zoomScale="130" zoomScaleNormal="130" workbookViewId="0">
      <pane ySplit="6" topLeftCell="A7" activePane="bottomLeft" state="frozen"/>
      <selection activeCell="B10" sqref="B10"/>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26" customWidth="1"/>
    <col min="10" max="10" width="5.7109375" customWidth="1"/>
    <col min="11" max="13" width="2.140625" bestFit="1" customWidth="1"/>
    <col min="14" max="14" width="5.7109375" customWidth="1"/>
    <col min="15" max="16" width="3.28515625" bestFit="1" customWidth="1"/>
    <col min="17" max="17" width="5.7109375" customWidth="1"/>
    <col min="18" max="18" width="4.5703125" customWidth="1"/>
    <col min="19" max="98" width="3.7109375" bestFit="1" customWidth="1"/>
    <col min="99" max="494" width="4.5703125" customWidth="1"/>
  </cols>
  <sheetData>
    <row r="1" spans="1:110" ht="15.75" customHeight="1" thickBot="1" x14ac:dyDescent="0.3">
      <c r="A1" s="150" t="s">
        <v>234</v>
      </c>
      <c r="B1" s="150"/>
      <c r="C1" s="150"/>
      <c r="D1" s="150"/>
      <c r="E1" s="150"/>
      <c r="F1" s="151"/>
      <c r="G1" s="151"/>
      <c r="H1" s="152" t="s">
        <v>235</v>
      </c>
      <c r="J1" s="89"/>
      <c r="K1" s="89"/>
      <c r="L1" s="89"/>
      <c r="M1" s="89"/>
      <c r="N1" s="153"/>
      <c r="O1" s="153"/>
      <c r="P1" s="153"/>
      <c r="Q1" s="153"/>
      <c r="R1" s="154" t="s">
        <v>236</v>
      </c>
      <c r="S1" s="55"/>
      <c r="T1" s="55"/>
      <c r="U1" s="55"/>
      <c r="V1" s="55"/>
      <c r="W1" s="55"/>
      <c r="X1" s="55"/>
      <c r="Y1" s="55"/>
      <c r="Z1" s="55"/>
      <c r="AA1" s="55"/>
      <c r="AB1" s="55"/>
    </row>
    <row r="2" spans="1:110" ht="15" customHeight="1" x14ac:dyDescent="0.25">
      <c r="A2" s="155" t="s">
        <v>237</v>
      </c>
      <c r="B2" s="55"/>
      <c r="C2" s="55"/>
      <c r="D2" s="55"/>
      <c r="E2" s="61" t="s">
        <v>238</v>
      </c>
      <c r="F2" s="156">
        <f>1/3</f>
        <v>0.33333333333333331</v>
      </c>
      <c r="G2" s="157">
        <f>2/3</f>
        <v>0.66666666666666663</v>
      </c>
      <c r="H2" s="158">
        <v>1</v>
      </c>
      <c r="I2" s="450" t="s">
        <v>239</v>
      </c>
      <c r="J2" s="159"/>
      <c r="K2" s="159"/>
      <c r="L2" s="159"/>
      <c r="M2" s="159"/>
      <c r="N2" s="160"/>
      <c r="O2" s="160"/>
      <c r="P2" s="160"/>
      <c r="Q2" s="160"/>
      <c r="R2" s="161" t="s">
        <v>240</v>
      </c>
      <c r="S2" s="162">
        <f>COUNTIF(S7:S31,"="&amp;"X")</f>
        <v>3</v>
      </c>
      <c r="T2" s="162">
        <f>COUNTIF(T7:T31,"="&amp;"X")</f>
        <v>3</v>
      </c>
      <c r="U2" s="162">
        <f>COUNTIF(U7:U31,"="&amp;"X")</f>
        <v>3</v>
      </c>
      <c r="V2" s="162">
        <f>COUNTIF(V7:V31,"="&amp;"X")</f>
        <v>3</v>
      </c>
      <c r="W2" s="162">
        <f>COUNTIF(W7:W31,"="&amp;"X")</f>
        <v>2</v>
      </c>
      <c r="X2" s="162">
        <f>COUNTIF(X7:X31,"="&amp;"X")</f>
        <v>2</v>
      </c>
      <c r="Y2" s="162">
        <f>COUNTIF(Y7:Y31,"="&amp;"X")</f>
        <v>1</v>
      </c>
      <c r="Z2" s="162">
        <f>COUNTIF(Z7:Z31,"="&amp;"X")</f>
        <v>2</v>
      </c>
      <c r="AA2" s="162">
        <f>COUNTIF(AA7:AA31,"="&amp;"X")</f>
        <v>2</v>
      </c>
      <c r="AB2" s="162">
        <f>COUNTIF(AB7:AB31,"="&amp;"X")</f>
        <v>2</v>
      </c>
    </row>
    <row r="3" spans="1:110" ht="15.75" customHeight="1" x14ac:dyDescent="0.25">
      <c r="A3" s="163" t="s">
        <v>241</v>
      </c>
      <c r="B3" s="55"/>
      <c r="C3" s="55"/>
      <c r="D3" s="55"/>
      <c r="E3" s="64">
        <f>SUM(E7:E31)</f>
        <v>23</v>
      </c>
      <c r="F3" s="64">
        <f>SUM(F7:F31)</f>
        <v>37</v>
      </c>
      <c r="G3" s="164">
        <f>SUM(G7:G31)</f>
        <v>2</v>
      </c>
      <c r="H3" s="164">
        <f>SUM(H7:H31)</f>
        <v>0</v>
      </c>
      <c r="I3" s="450"/>
      <c r="J3" s="165"/>
      <c r="K3" s="165"/>
      <c r="L3" s="165"/>
      <c r="M3" s="165"/>
      <c r="N3" s="166"/>
      <c r="O3" s="166"/>
      <c r="P3" s="166"/>
      <c r="Q3" s="166"/>
      <c r="R3" s="138" t="s">
        <v>242</v>
      </c>
      <c r="S3" s="64">
        <f>COUNTIF(S7:S31,"&lt;="&amp;$F$2)</f>
        <v>5</v>
      </c>
      <c r="T3" s="64">
        <f>COUNTIF(T7:T31,"&lt;="&amp;$F$2)</f>
        <v>4</v>
      </c>
      <c r="U3" s="64">
        <f>COUNTIF(U7:U31,"&lt;="&amp;$F$2)</f>
        <v>3</v>
      </c>
      <c r="V3" s="64">
        <f>COUNTIF(V7:V31,"&lt;="&amp;$F$2)</f>
        <v>4</v>
      </c>
      <c r="W3" s="64">
        <f>COUNTIF(W7:W31,"&lt;="&amp;$F$2)</f>
        <v>3</v>
      </c>
      <c r="X3" s="64">
        <f>COUNTIF(X7:X31,"&lt;="&amp;$F$2)</f>
        <v>3</v>
      </c>
      <c r="Y3" s="64">
        <f>COUNTIF(Y7:Y31,"&lt;="&amp;$F$2)</f>
        <v>4</v>
      </c>
      <c r="Z3" s="64">
        <f>COUNTIF(Z7:Z31,"&lt;="&amp;$F$2)</f>
        <v>2</v>
      </c>
      <c r="AA3" s="64">
        <f>COUNTIF(AA7:AA31,"&lt;="&amp;$F$2)</f>
        <v>4</v>
      </c>
      <c r="AB3" s="64">
        <f>COUNTIF(AB7:AB31,"&lt;="&amp;$F$2)</f>
        <v>5</v>
      </c>
    </row>
    <row r="4" spans="1:110" s="89" customFormat="1" ht="15.75" customHeight="1" x14ac:dyDescent="0.25">
      <c r="A4" s="167"/>
      <c r="B4" s="168"/>
      <c r="C4" s="168"/>
      <c r="D4" s="169"/>
      <c r="E4" s="170" t="s">
        <v>243</v>
      </c>
      <c r="F4" s="171"/>
      <c r="G4" s="171"/>
      <c r="H4" s="172"/>
      <c r="I4" s="450"/>
      <c r="J4" s="173" t="s">
        <v>244</v>
      </c>
      <c r="K4" s="173"/>
      <c r="L4" s="173"/>
      <c r="M4" s="173"/>
      <c r="N4" s="174"/>
      <c r="O4" s="174"/>
      <c r="P4" s="174"/>
      <c r="Q4" s="174"/>
      <c r="R4" s="138" t="s">
        <v>245</v>
      </c>
      <c r="S4" s="164">
        <f>COUNTIF(S7:S31,"&lt;="&amp;$G$2)-S3</f>
        <v>0</v>
      </c>
      <c r="T4" s="164">
        <f>COUNTIF(T7:T31,"&lt;="&amp;$G$2)-T3</f>
        <v>0</v>
      </c>
      <c r="U4" s="164">
        <f>COUNTIF(U7:U31,"&lt;="&amp;$G$2)-U3</f>
        <v>0</v>
      </c>
      <c r="V4" s="164">
        <f>COUNTIF(V7:V31,"&lt;="&amp;$G$2)-V3</f>
        <v>1</v>
      </c>
      <c r="W4" s="164">
        <f>COUNTIF(W7:W31,"&lt;="&amp;$G$2)-W3</f>
        <v>0</v>
      </c>
      <c r="X4" s="164">
        <f>COUNTIF(X7:X31,"&lt;="&amp;$G$2)-X3</f>
        <v>0</v>
      </c>
      <c r="Y4" s="164">
        <f>COUNTIF(Y7:Y31,"&lt;="&amp;$G$2)-Y3</f>
        <v>0</v>
      </c>
      <c r="Z4" s="164">
        <f>COUNTIF(Z7:Z31,"&lt;="&amp;$G$2)-Z3</f>
        <v>0</v>
      </c>
      <c r="AA4" s="164">
        <f>COUNTIF(AA7:AA31,"&lt;="&amp;$G$2)-AA3</f>
        <v>1</v>
      </c>
      <c r="AB4" s="164">
        <f>COUNTIF(AB7:AB31,"&lt;="&amp;$G$2)-AB3</f>
        <v>0</v>
      </c>
    </row>
    <row r="5" spans="1:110" s="89" customFormat="1" ht="15" customHeight="1" thickBot="1" x14ac:dyDescent="0.3">
      <c r="A5" s="175"/>
      <c r="B5" s="88"/>
      <c r="C5" s="176"/>
      <c r="D5" s="176"/>
      <c r="E5" s="177"/>
      <c r="F5" s="177"/>
      <c r="G5" s="178" t="s">
        <v>246</v>
      </c>
      <c r="H5" s="179"/>
      <c r="I5" s="450"/>
      <c r="J5" s="180"/>
      <c r="K5" s="180"/>
      <c r="L5" s="180"/>
      <c r="M5" s="180"/>
      <c r="N5" s="181" t="s">
        <v>247</v>
      </c>
      <c r="O5" s="181"/>
      <c r="P5" s="181"/>
      <c r="Q5" s="181"/>
      <c r="R5" s="138" t="s">
        <v>248</v>
      </c>
      <c r="S5" s="164">
        <f>COUNTIF(S7:S31,"&lt;="&amp;$H$2)-S3-S4</f>
        <v>0</v>
      </c>
      <c r="T5" s="164">
        <f>COUNTIF(T7:T31,"&lt;="&amp;$H$2)-T3-T4</f>
        <v>0</v>
      </c>
      <c r="U5" s="164">
        <f>COUNTIF(U7:U31,"&lt;="&amp;$H$2)-U3-U4</f>
        <v>0</v>
      </c>
      <c r="V5" s="164">
        <f>COUNTIF(V7:V31,"&lt;="&amp;$H$2)-V3-V4</f>
        <v>0</v>
      </c>
      <c r="W5" s="164">
        <f>COUNTIF(W7:W31,"&lt;="&amp;$H$2)-W3-W4</f>
        <v>0</v>
      </c>
      <c r="X5" s="164">
        <f>COUNTIF(X7:X31,"&lt;="&amp;$H$2)-X3-X4</f>
        <v>0</v>
      </c>
      <c r="Y5" s="164">
        <f>COUNTIF(Y7:Y31,"&lt;="&amp;$H$2)-Y3-Y4</f>
        <v>0</v>
      </c>
      <c r="Z5" s="164">
        <f>COUNTIF(Z7:Z31,"&lt;="&amp;$H$2)-Z3-Z4</f>
        <v>0</v>
      </c>
      <c r="AA5" s="164">
        <f>COUNTIF(AA7:AA31,"&lt;="&amp;$H$2)-AA3-AA4</f>
        <v>0</v>
      </c>
      <c r="AB5" s="164">
        <f>COUNTIF(AB7:AB31,"&lt;="&amp;$H$2)-AB3-AB4</f>
        <v>0</v>
      </c>
    </row>
    <row r="6" spans="1:110" s="89" customFormat="1" ht="30.75" customHeight="1" thickBot="1" x14ac:dyDescent="0.3">
      <c r="A6" s="182" t="s">
        <v>69</v>
      </c>
      <c r="B6" s="183" t="s">
        <v>249</v>
      </c>
      <c r="C6" s="184" t="s">
        <v>250</v>
      </c>
      <c r="D6" s="184" t="s">
        <v>251</v>
      </c>
      <c r="E6" s="185" t="s">
        <v>252</v>
      </c>
      <c r="F6" s="186" t="s">
        <v>253</v>
      </c>
      <c r="G6" s="187" t="s">
        <v>254</v>
      </c>
      <c r="H6" s="188" t="s">
        <v>255</v>
      </c>
      <c r="I6" s="450"/>
      <c r="J6" s="189">
        <v>1</v>
      </c>
      <c r="K6" s="189">
        <v>2</v>
      </c>
      <c r="L6" s="189">
        <v>3</v>
      </c>
      <c r="M6" s="189">
        <v>4</v>
      </c>
      <c r="N6" s="190">
        <v>1</v>
      </c>
      <c r="O6" s="190">
        <v>2</v>
      </c>
      <c r="P6" s="190">
        <v>3</v>
      </c>
      <c r="Q6" s="190">
        <v>4</v>
      </c>
      <c r="R6" s="191" t="s">
        <v>256</v>
      </c>
      <c r="S6" s="192">
        <v>1</v>
      </c>
      <c r="T6" s="192">
        <v>2</v>
      </c>
      <c r="U6" s="192">
        <v>3</v>
      </c>
      <c r="V6" s="192">
        <v>4</v>
      </c>
      <c r="W6" s="192">
        <v>5</v>
      </c>
      <c r="X6" s="192">
        <v>6</v>
      </c>
      <c r="Y6" s="192">
        <v>7</v>
      </c>
      <c r="Z6" s="192">
        <v>8</v>
      </c>
      <c r="AA6" s="192">
        <v>9</v>
      </c>
      <c r="AB6" s="192">
        <v>10</v>
      </c>
    </row>
    <row r="7" spans="1:110" ht="15.75" thickBot="1" x14ac:dyDescent="0.3">
      <c r="A7" s="193">
        <f>IF(LEN(Projects!A3)&gt;0,Projects!A3,"")</f>
        <v>1</v>
      </c>
      <c r="B7" s="127" t="str">
        <f>IF(ISNA(VLOOKUP(A7,Projects!A:B,2,FALSE)), "",VLOOKUP(A7,Projects!A:B,2,FALSE))</f>
        <v>Project 1</v>
      </c>
      <c r="C7" s="194">
        <f>3*H7+2*G7+1*F7</f>
        <v>0</v>
      </c>
      <c r="D7" s="194">
        <f>SUM(F7:F7)</f>
        <v>0</v>
      </c>
      <c r="E7" s="194">
        <f>COUNTIF(S7:AB7,"="&amp;"X")</f>
        <v>1</v>
      </c>
      <c r="F7" s="194">
        <f>COUNTIF($S7:$AB7,"&lt;="&amp;F$2)</f>
        <v>0</v>
      </c>
      <c r="G7" s="195">
        <f>COUNTIF($S7:$AB7,"&lt;="&amp;G$2)-F7</f>
        <v>0</v>
      </c>
      <c r="H7" s="195">
        <f>COUNTIF($S7:$AB7,"&lt;="&amp;H$2)-G7-F7</f>
        <v>0</v>
      </c>
      <c r="I7" s="196">
        <f>SUM(J7:M7)</f>
        <v>4</v>
      </c>
      <c r="J7" s="194">
        <v>1</v>
      </c>
      <c r="K7" s="194">
        <v>1</v>
      </c>
      <c r="L7" s="194">
        <v>1</v>
      </c>
      <c r="M7" s="194">
        <v>1</v>
      </c>
      <c r="N7" s="197">
        <v>5</v>
      </c>
      <c r="O7" s="197">
        <v>9</v>
      </c>
      <c r="P7" s="197">
        <v>10</v>
      </c>
      <c r="Q7" s="197">
        <v>3</v>
      </c>
      <c r="R7" s="198"/>
      <c r="S7" s="468" t="s">
        <v>238</v>
      </c>
      <c r="T7" s="468"/>
      <c r="U7" s="468" t="s">
        <v>369</v>
      </c>
      <c r="V7" s="468"/>
      <c r="W7" s="468" t="s">
        <v>369</v>
      </c>
      <c r="X7" s="468"/>
      <c r="Y7" s="468"/>
      <c r="Z7" s="468"/>
      <c r="AA7" s="468" t="s">
        <v>369</v>
      </c>
      <c r="AB7" s="468" t="s">
        <v>369</v>
      </c>
      <c r="AE7" s="199"/>
      <c r="AF7" s="199"/>
      <c r="AG7" s="199"/>
      <c r="AH7" s="199"/>
      <c r="AI7" s="199"/>
      <c r="AJ7" s="199"/>
      <c r="AK7" s="199"/>
      <c r="AL7" s="199"/>
      <c r="AM7" s="199"/>
      <c r="AN7" s="199"/>
      <c r="AO7" s="199"/>
      <c r="AP7" s="199"/>
      <c r="AQ7" s="199"/>
      <c r="AR7" s="199"/>
      <c r="AS7" s="199"/>
      <c r="AT7" s="199"/>
      <c r="AU7" s="199"/>
      <c r="AV7" s="199"/>
      <c r="AW7" s="199"/>
      <c r="AX7" s="199"/>
      <c r="AY7" s="199"/>
      <c r="AZ7" s="199"/>
      <c r="BA7" s="199"/>
      <c r="BB7" s="199"/>
      <c r="BC7" s="199"/>
      <c r="BD7" s="199"/>
      <c r="BE7" s="199"/>
      <c r="BF7" s="199"/>
      <c r="BG7" s="199"/>
      <c r="BH7" s="199"/>
      <c r="BI7" s="199"/>
      <c r="BJ7" s="199"/>
      <c r="BK7" s="199"/>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199"/>
      <c r="CO7" s="199"/>
      <c r="CP7" s="199"/>
      <c r="CQ7" s="199"/>
      <c r="CR7" s="199"/>
      <c r="CS7" s="199"/>
      <c r="CT7" s="199"/>
      <c r="CU7" s="199"/>
      <c r="CV7" s="199"/>
      <c r="CW7" s="199"/>
      <c r="CX7" s="199"/>
      <c r="CY7" s="199"/>
      <c r="CZ7" s="199"/>
      <c r="DA7" s="199"/>
      <c r="DB7" s="199"/>
      <c r="DC7" s="199"/>
      <c r="DD7" s="199"/>
      <c r="DE7" s="199"/>
      <c r="DF7" s="199"/>
    </row>
    <row r="8" spans="1:110" ht="15.75" thickBot="1" x14ac:dyDescent="0.3">
      <c r="A8" s="193">
        <f>IF(LEN(Projects!A4)&gt;0,Projects!A4,"")</f>
        <v>2</v>
      </c>
      <c r="B8" s="127" t="str">
        <f>IF(ISNA(VLOOKUP(A8,Projects!A:B,2,FALSE)), "",VLOOKUP(A8,Projects!A:B,2,FALSE))</f>
        <v>Project 2</v>
      </c>
      <c r="C8" s="194">
        <f t="shared" ref="C8:C31" si="0">3*H8+2*G8+1*F8</f>
        <v>1</v>
      </c>
      <c r="D8" s="194">
        <f t="shared" ref="D8:D31" si="1">SUM(F8:F8)</f>
        <v>1</v>
      </c>
      <c r="E8" s="194">
        <f t="shared" ref="E8:E31" si="2">COUNTIF(S8:AB8,"="&amp;"X")</f>
        <v>1</v>
      </c>
      <c r="F8" s="194">
        <f t="shared" ref="F8:F31" si="3">COUNTIF($S8:$AB8,"&lt;="&amp;F$2)</f>
        <v>1</v>
      </c>
      <c r="G8" s="195">
        <f t="shared" ref="G8:G31" si="4">COUNTIF($S8:$AB8,"&lt;="&amp;G$2)-F8</f>
        <v>0</v>
      </c>
      <c r="H8" s="195">
        <f t="shared" ref="H8:H31" si="5">COUNTIF($S8:$AB8,"&lt;="&amp;H$2)-G8-F8</f>
        <v>0</v>
      </c>
      <c r="I8" s="196">
        <f t="shared" ref="I8:I31" si="6">SUM(J8:M8)</f>
        <v>4</v>
      </c>
      <c r="J8" s="194">
        <v>1</v>
      </c>
      <c r="K8" s="194">
        <v>1</v>
      </c>
      <c r="L8" s="194">
        <v>1</v>
      </c>
      <c r="M8" s="194">
        <v>1</v>
      </c>
      <c r="N8" s="197">
        <v>1</v>
      </c>
      <c r="O8" s="197">
        <v>5</v>
      </c>
      <c r="P8" s="197">
        <v>10</v>
      </c>
      <c r="Q8" s="197">
        <v>4</v>
      </c>
      <c r="R8" s="198"/>
      <c r="S8" s="468" t="s">
        <v>369</v>
      </c>
      <c r="T8" s="468" t="s">
        <v>238</v>
      </c>
      <c r="U8" s="468"/>
      <c r="V8" s="468" t="s">
        <v>369</v>
      </c>
      <c r="W8" s="468" t="s">
        <v>369</v>
      </c>
      <c r="X8" s="468"/>
      <c r="Y8" s="468">
        <v>0.33333333333333331</v>
      </c>
      <c r="Z8" s="468"/>
      <c r="AA8" s="468"/>
      <c r="AB8" s="468" t="s">
        <v>369</v>
      </c>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K8" s="199"/>
      <c r="BL8" s="199"/>
      <c r="BM8" s="199"/>
      <c r="BN8" s="199"/>
      <c r="BO8" s="199"/>
      <c r="BP8" s="199"/>
      <c r="BQ8" s="199"/>
      <c r="BR8" s="199"/>
      <c r="BS8" s="199"/>
      <c r="BT8" s="199"/>
      <c r="BU8" s="199"/>
      <c r="BV8" s="199"/>
      <c r="BW8" s="199"/>
      <c r="BX8" s="199"/>
      <c r="BY8" s="199"/>
      <c r="BZ8" s="199"/>
      <c r="CA8" s="199"/>
      <c r="CB8" s="199"/>
      <c r="CC8" s="199"/>
      <c r="CD8" s="199"/>
      <c r="CE8" s="199"/>
      <c r="CF8" s="199"/>
      <c r="CG8" s="199"/>
      <c r="CH8" s="199"/>
      <c r="CI8" s="199"/>
      <c r="CJ8" s="199"/>
      <c r="CK8" s="199"/>
      <c r="CL8" s="199"/>
      <c r="CM8" s="199"/>
      <c r="CN8" s="199"/>
      <c r="CO8" s="199"/>
      <c r="CP8" s="199"/>
      <c r="CQ8" s="199"/>
      <c r="CR8" s="199"/>
      <c r="CS8" s="199"/>
      <c r="CT8" s="199"/>
      <c r="CU8" s="199"/>
      <c r="CV8" s="199"/>
      <c r="CW8" s="199"/>
      <c r="CX8" s="199"/>
      <c r="CY8" s="199"/>
      <c r="CZ8" s="199"/>
      <c r="DA8" s="199"/>
      <c r="DB8" s="199"/>
      <c r="DC8" s="199"/>
      <c r="DD8" s="199"/>
      <c r="DE8" s="199"/>
      <c r="DF8" s="199"/>
    </row>
    <row r="9" spans="1:110" ht="15.75" thickBot="1" x14ac:dyDescent="0.3">
      <c r="A9" s="193">
        <f>IF(LEN(Projects!A5)&gt;0,Projects!A5,"")</f>
        <v>3</v>
      </c>
      <c r="B9" s="127" t="str">
        <f>IF(ISNA(VLOOKUP(A9,Projects!A:B,2,FALSE)), "",VLOOKUP(A9,Projects!A:B,2,FALSE))</f>
        <v>Project 3</v>
      </c>
      <c r="C9" s="194">
        <f t="shared" si="0"/>
        <v>3</v>
      </c>
      <c r="D9" s="194">
        <f t="shared" si="1"/>
        <v>3</v>
      </c>
      <c r="E9" s="194">
        <f t="shared" si="2"/>
        <v>1</v>
      </c>
      <c r="F9" s="194">
        <f t="shared" si="3"/>
        <v>3</v>
      </c>
      <c r="G9" s="195">
        <f t="shared" si="4"/>
        <v>0</v>
      </c>
      <c r="H9" s="195">
        <f t="shared" si="5"/>
        <v>0</v>
      </c>
      <c r="I9" s="196">
        <f t="shared" si="6"/>
        <v>6</v>
      </c>
      <c r="J9" s="194">
        <v>2</v>
      </c>
      <c r="K9" s="194">
        <v>2</v>
      </c>
      <c r="L9" s="194">
        <v>1</v>
      </c>
      <c r="M9" s="194">
        <v>1</v>
      </c>
      <c r="N9" s="197">
        <v>7</v>
      </c>
      <c r="O9" s="197">
        <v>10</v>
      </c>
      <c r="P9" s="197">
        <v>1</v>
      </c>
      <c r="Q9" s="197">
        <v>5</v>
      </c>
      <c r="R9" s="198"/>
      <c r="S9" s="468" t="s">
        <v>369</v>
      </c>
      <c r="T9" s="468">
        <v>0.33333333333333331</v>
      </c>
      <c r="U9" s="468" t="s">
        <v>238</v>
      </c>
      <c r="V9" s="468"/>
      <c r="W9" s="468" t="s">
        <v>369</v>
      </c>
      <c r="X9" s="468">
        <v>0.33333333333333331</v>
      </c>
      <c r="Y9" s="468" t="s">
        <v>369</v>
      </c>
      <c r="Z9" s="468">
        <v>0.33333333333333331</v>
      </c>
      <c r="AA9" s="468"/>
      <c r="AB9" s="468" t="s">
        <v>369</v>
      </c>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K9" s="199"/>
      <c r="BL9" s="199"/>
      <c r="BM9" s="199"/>
      <c r="BN9" s="199"/>
      <c r="BO9" s="199"/>
      <c r="BP9" s="199"/>
      <c r="BQ9" s="199"/>
      <c r="BR9" s="199"/>
      <c r="BS9" s="199"/>
      <c r="BT9" s="199"/>
      <c r="BU9" s="199"/>
      <c r="BV9" s="199"/>
      <c r="BW9" s="199"/>
      <c r="BX9" s="199"/>
      <c r="BY9" s="199"/>
      <c r="BZ9" s="199"/>
      <c r="CA9" s="199"/>
      <c r="CB9" s="199"/>
      <c r="CC9" s="199"/>
      <c r="CD9" s="199"/>
      <c r="CE9" s="199"/>
      <c r="CF9" s="199"/>
      <c r="CG9" s="199"/>
      <c r="CH9" s="199"/>
      <c r="CI9" s="199"/>
      <c r="CJ9" s="199"/>
      <c r="CK9" s="199"/>
      <c r="CL9" s="199"/>
      <c r="CM9" s="199"/>
      <c r="CN9" s="199"/>
      <c r="CO9" s="199"/>
      <c r="CP9" s="199"/>
      <c r="CQ9" s="199"/>
      <c r="CR9" s="199"/>
      <c r="CS9" s="199"/>
      <c r="CT9" s="199"/>
    </row>
    <row r="10" spans="1:110" ht="15.75" thickBot="1" x14ac:dyDescent="0.3">
      <c r="A10" s="193">
        <f>IF(LEN(Projects!A6)&gt;0,Projects!A6,"")</f>
        <v>4</v>
      </c>
      <c r="B10" s="127" t="str">
        <f>IF(ISNA(VLOOKUP(A10,Projects!A:B,2,FALSE)), "",VLOOKUP(A10,Projects!A:B,2,FALSE))</f>
        <v>Project 4</v>
      </c>
      <c r="C10" s="194">
        <f t="shared" si="0"/>
        <v>3</v>
      </c>
      <c r="D10" s="194">
        <f t="shared" si="1"/>
        <v>3</v>
      </c>
      <c r="E10" s="194">
        <f t="shared" si="2"/>
        <v>1</v>
      </c>
      <c r="F10" s="194">
        <f t="shared" si="3"/>
        <v>3</v>
      </c>
      <c r="G10" s="195">
        <f t="shared" si="4"/>
        <v>0</v>
      </c>
      <c r="H10" s="195">
        <f t="shared" si="5"/>
        <v>0</v>
      </c>
      <c r="I10" s="196">
        <f t="shared" si="6"/>
        <v>4</v>
      </c>
      <c r="J10" s="194">
        <v>1</v>
      </c>
      <c r="K10" s="194">
        <v>1</v>
      </c>
      <c r="L10" s="194">
        <v>1</v>
      </c>
      <c r="M10" s="194">
        <v>1</v>
      </c>
      <c r="N10" s="197">
        <v>10</v>
      </c>
      <c r="O10" s="197">
        <v>7</v>
      </c>
      <c r="P10" s="197">
        <v>9</v>
      </c>
      <c r="Q10" s="197">
        <v>6</v>
      </c>
      <c r="R10" s="198"/>
      <c r="S10" s="468">
        <v>0.33333333333333331</v>
      </c>
      <c r="T10" s="468">
        <v>0.33333333333333331</v>
      </c>
      <c r="U10" s="468"/>
      <c r="V10" s="468" t="s">
        <v>238</v>
      </c>
      <c r="W10" s="468">
        <v>0.33333333333333331</v>
      </c>
      <c r="X10" s="468" t="s">
        <v>369</v>
      </c>
      <c r="Y10" s="468" t="s">
        <v>369</v>
      </c>
      <c r="Z10" s="468"/>
      <c r="AA10" s="468" t="s">
        <v>369</v>
      </c>
      <c r="AB10" s="468" t="s">
        <v>369</v>
      </c>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K10" s="199"/>
      <c r="BL10" s="199"/>
      <c r="BM10" s="199"/>
      <c r="BN10" s="199"/>
      <c r="BO10" s="199"/>
      <c r="BP10" s="199"/>
      <c r="BQ10" s="199"/>
      <c r="BR10" s="199"/>
      <c r="BS10" s="199"/>
      <c r="BT10" s="199"/>
      <c r="BU10" s="199"/>
      <c r="BV10" s="199"/>
      <c r="BW10" s="199"/>
      <c r="BX10" s="199"/>
      <c r="BY10" s="199"/>
      <c r="BZ10" s="199"/>
      <c r="CA10" s="199"/>
      <c r="CB10" s="199"/>
      <c r="CC10" s="199"/>
      <c r="CD10" s="199"/>
      <c r="CE10" s="199"/>
      <c r="CF10" s="199"/>
      <c r="CG10" s="199"/>
      <c r="CH10" s="199"/>
      <c r="CI10" s="199"/>
      <c r="CJ10" s="199"/>
      <c r="CK10" s="199"/>
      <c r="CL10" s="199"/>
      <c r="CM10" s="199"/>
      <c r="CN10" s="199"/>
      <c r="CO10" s="199"/>
      <c r="CP10" s="199"/>
      <c r="CQ10" s="199"/>
      <c r="CR10" s="199"/>
      <c r="CS10" s="199"/>
      <c r="CT10" s="199"/>
    </row>
    <row r="11" spans="1:110" ht="15.75" thickBot="1" x14ac:dyDescent="0.3">
      <c r="A11" s="193">
        <f>IF(LEN(Projects!A7)&gt;0,Projects!A7,"")</f>
        <v>5</v>
      </c>
      <c r="B11" s="127" t="str">
        <f>IF(ISNA(VLOOKUP(A11,Projects!A:B,2,FALSE)), "",VLOOKUP(A11,Projects!A:B,2,FALSE))</f>
        <v>Project 5</v>
      </c>
      <c r="C11" s="194">
        <f t="shared" si="0"/>
        <v>0</v>
      </c>
      <c r="D11" s="194">
        <f t="shared" si="1"/>
        <v>0</v>
      </c>
      <c r="E11" s="194">
        <f t="shared" si="2"/>
        <v>1</v>
      </c>
      <c r="F11" s="194">
        <f t="shared" si="3"/>
        <v>0</v>
      </c>
      <c r="G11" s="195">
        <f t="shared" si="4"/>
        <v>0</v>
      </c>
      <c r="H11" s="195">
        <f t="shared" si="5"/>
        <v>0</v>
      </c>
      <c r="I11" s="196">
        <f t="shared" si="6"/>
        <v>4</v>
      </c>
      <c r="J11" s="194">
        <v>1</v>
      </c>
      <c r="K11" s="194">
        <v>1</v>
      </c>
      <c r="L11" s="194">
        <v>1</v>
      </c>
      <c r="M11" s="194">
        <v>1</v>
      </c>
      <c r="N11" s="197">
        <v>10</v>
      </c>
      <c r="O11" s="197">
        <v>4</v>
      </c>
      <c r="P11" s="197">
        <v>3</v>
      </c>
      <c r="Q11" s="197">
        <v>6</v>
      </c>
      <c r="R11" s="198"/>
      <c r="S11" s="468"/>
      <c r="T11" s="468"/>
      <c r="U11" s="468" t="s">
        <v>369</v>
      </c>
      <c r="V11" s="468" t="s">
        <v>369</v>
      </c>
      <c r="W11" s="468" t="s">
        <v>238</v>
      </c>
      <c r="X11" s="468" t="s">
        <v>369</v>
      </c>
      <c r="Y11" s="468"/>
      <c r="Z11" s="468"/>
      <c r="AA11" s="468"/>
      <c r="AB11" s="468" t="s">
        <v>369</v>
      </c>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c r="BK11" s="199"/>
      <c r="BL11" s="199"/>
      <c r="BM11" s="199"/>
      <c r="BN11" s="199"/>
      <c r="BO11" s="199"/>
      <c r="BP11" s="199"/>
      <c r="BQ11" s="199"/>
      <c r="BR11" s="199"/>
      <c r="BS11" s="199"/>
      <c r="BT11" s="199"/>
      <c r="BU11" s="199"/>
      <c r="BV11" s="199"/>
      <c r="BW11" s="199"/>
      <c r="BX11" s="199"/>
      <c r="BY11" s="199"/>
      <c r="BZ11" s="199"/>
      <c r="CA11" s="199"/>
      <c r="CB11" s="199"/>
      <c r="CC11" s="199"/>
      <c r="CD11" s="199"/>
      <c r="CE11" s="199"/>
      <c r="CF11" s="199"/>
      <c r="CG11" s="199"/>
      <c r="CH11" s="199"/>
      <c r="CI11" s="199"/>
      <c r="CJ11" s="199"/>
      <c r="CK11" s="199"/>
      <c r="CL11" s="199"/>
      <c r="CM11" s="199"/>
      <c r="CN11" s="199"/>
      <c r="CO11" s="199"/>
      <c r="CP11" s="199"/>
      <c r="CQ11" s="199"/>
      <c r="CR11" s="199"/>
      <c r="CS11" s="199"/>
      <c r="CT11" s="199"/>
    </row>
    <row r="12" spans="1:110" ht="15.75" thickBot="1" x14ac:dyDescent="0.3">
      <c r="A12" s="193">
        <f>IF(LEN(Projects!A8)&gt;0,Projects!A8,"")</f>
        <v>6</v>
      </c>
      <c r="B12" s="127" t="str">
        <f>IF(ISNA(VLOOKUP(A12,Projects!A:B,2,FALSE)), "",VLOOKUP(A12,Projects!A:B,2,FALSE))</f>
        <v>Project 6</v>
      </c>
      <c r="C12" s="194">
        <f t="shared" si="0"/>
        <v>2</v>
      </c>
      <c r="D12" s="194">
        <f t="shared" si="1"/>
        <v>2</v>
      </c>
      <c r="E12" s="194">
        <f t="shared" si="2"/>
        <v>1</v>
      </c>
      <c r="F12" s="194">
        <f t="shared" si="3"/>
        <v>2</v>
      </c>
      <c r="G12" s="195">
        <f t="shared" si="4"/>
        <v>0</v>
      </c>
      <c r="H12" s="195">
        <f t="shared" si="5"/>
        <v>0</v>
      </c>
      <c r="I12" s="196">
        <f t="shared" si="6"/>
        <v>7</v>
      </c>
      <c r="J12" s="194">
        <v>3</v>
      </c>
      <c r="K12" s="194">
        <v>2</v>
      </c>
      <c r="L12" s="194">
        <v>1</v>
      </c>
      <c r="M12" s="194">
        <v>1</v>
      </c>
      <c r="N12" s="197">
        <v>9</v>
      </c>
      <c r="O12" s="197">
        <v>4</v>
      </c>
      <c r="P12" s="197">
        <v>2</v>
      </c>
      <c r="Q12" s="197">
        <v>8</v>
      </c>
      <c r="R12" s="198"/>
      <c r="S12" s="468"/>
      <c r="T12" s="468" t="s">
        <v>369</v>
      </c>
      <c r="U12" s="468"/>
      <c r="V12" s="468" t="s">
        <v>369</v>
      </c>
      <c r="W12" s="468"/>
      <c r="X12" s="468" t="s">
        <v>238</v>
      </c>
      <c r="Y12" s="468">
        <v>0.33333333333333331</v>
      </c>
      <c r="Z12" s="468" t="s">
        <v>369</v>
      </c>
      <c r="AA12" s="468" t="s">
        <v>369</v>
      </c>
      <c r="AB12" s="468">
        <v>0.33333333333333331</v>
      </c>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K12" s="199"/>
      <c r="BL12" s="199"/>
      <c r="BM12" s="199"/>
      <c r="BN12" s="199"/>
      <c r="BO12" s="199"/>
      <c r="BP12" s="199"/>
      <c r="BQ12" s="199"/>
      <c r="BR12" s="199"/>
      <c r="BS12" s="199"/>
      <c r="BT12" s="199"/>
      <c r="BU12" s="199"/>
      <c r="BV12" s="199"/>
      <c r="BW12" s="199"/>
      <c r="BX12" s="199"/>
      <c r="BY12" s="199"/>
      <c r="BZ12" s="199"/>
      <c r="CA12" s="199"/>
      <c r="CB12" s="199"/>
      <c r="CC12" s="199"/>
      <c r="CD12" s="199"/>
      <c r="CE12" s="199"/>
      <c r="CF12" s="199"/>
      <c r="CG12" s="199"/>
      <c r="CH12" s="199"/>
      <c r="CI12" s="199"/>
      <c r="CJ12" s="199"/>
      <c r="CK12" s="199"/>
      <c r="CL12" s="199"/>
      <c r="CM12" s="199"/>
      <c r="CN12" s="199"/>
      <c r="CO12" s="199"/>
      <c r="CP12" s="199"/>
      <c r="CQ12" s="199"/>
      <c r="CR12" s="199"/>
      <c r="CS12" s="199"/>
      <c r="CT12" s="199"/>
    </row>
    <row r="13" spans="1:110" ht="15.75" thickBot="1" x14ac:dyDescent="0.3">
      <c r="A13" s="193">
        <f>IF(LEN(Projects!A9)&gt;0,Projects!A9,"")</f>
        <v>7</v>
      </c>
      <c r="B13" s="127" t="str">
        <f>IF(ISNA(VLOOKUP(A13,Projects!A:B,2,FALSE)), "",VLOOKUP(A13,Projects!A:B,2,FALSE))</f>
        <v>Project 7</v>
      </c>
      <c r="C13" s="194">
        <f t="shared" si="0"/>
        <v>1</v>
      </c>
      <c r="D13" s="194">
        <f t="shared" si="1"/>
        <v>1</v>
      </c>
      <c r="E13" s="194">
        <f t="shared" si="2"/>
        <v>0</v>
      </c>
      <c r="F13" s="194">
        <f t="shared" si="3"/>
        <v>1</v>
      </c>
      <c r="G13" s="195">
        <f t="shared" si="4"/>
        <v>0</v>
      </c>
      <c r="H13" s="195">
        <f t="shared" si="5"/>
        <v>0</v>
      </c>
      <c r="I13" s="196">
        <f t="shared" si="6"/>
        <v>4</v>
      </c>
      <c r="J13" s="194">
        <v>1</v>
      </c>
      <c r="K13" s="194">
        <v>1</v>
      </c>
      <c r="L13" s="194">
        <v>1</v>
      </c>
      <c r="M13" s="194">
        <v>1</v>
      </c>
      <c r="N13" s="197">
        <v>5</v>
      </c>
      <c r="O13" s="197">
        <v>6</v>
      </c>
      <c r="P13" s="197">
        <v>2</v>
      </c>
      <c r="Q13" s="197">
        <v>7</v>
      </c>
      <c r="R13" s="198"/>
      <c r="S13" s="468">
        <v>0.33333333333333331</v>
      </c>
      <c r="T13" s="468" t="s">
        <v>369</v>
      </c>
      <c r="U13" s="468"/>
      <c r="V13" s="468"/>
      <c r="W13" s="468" t="s">
        <v>369</v>
      </c>
      <c r="X13" s="468" t="s">
        <v>369</v>
      </c>
      <c r="Y13" s="468" t="s">
        <v>369</v>
      </c>
      <c r="Z13" s="468"/>
      <c r="AA13" s="468"/>
      <c r="AB13" s="468"/>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c r="BK13" s="199"/>
      <c r="BL13" s="199"/>
      <c r="BM13" s="199"/>
      <c r="BN13" s="199"/>
      <c r="BO13" s="199"/>
      <c r="BP13" s="199"/>
      <c r="BQ13" s="199"/>
      <c r="BR13" s="199"/>
      <c r="BS13" s="199"/>
      <c r="BT13" s="199"/>
      <c r="BU13" s="199"/>
      <c r="BV13" s="199"/>
      <c r="BW13" s="199"/>
      <c r="BX13" s="199"/>
      <c r="BY13" s="199"/>
      <c r="BZ13" s="199"/>
      <c r="CA13" s="199"/>
      <c r="CB13" s="199"/>
      <c r="CC13" s="199"/>
      <c r="CD13" s="199"/>
      <c r="CE13" s="199"/>
      <c r="CF13" s="199"/>
      <c r="CG13" s="199"/>
      <c r="CH13" s="199"/>
      <c r="CI13" s="199"/>
      <c r="CJ13" s="199"/>
      <c r="CK13" s="199"/>
      <c r="CL13" s="199"/>
      <c r="CM13" s="199"/>
      <c r="CN13" s="199"/>
      <c r="CO13" s="199"/>
      <c r="CP13" s="199"/>
      <c r="CQ13" s="199"/>
      <c r="CR13" s="199"/>
      <c r="CS13" s="199"/>
      <c r="CT13" s="199"/>
    </row>
    <row r="14" spans="1:110" ht="15.75" thickBot="1" x14ac:dyDescent="0.3">
      <c r="A14" s="193">
        <f>IF(LEN(Projects!A10)&gt;0,Projects!A10,"")</f>
        <v>8</v>
      </c>
      <c r="B14" s="127" t="str">
        <f>IF(ISNA(VLOOKUP(A14,Projects!A:B,2,FALSE)), "",VLOOKUP(A14,Projects!A:B,2,FALSE))</f>
        <v>Project 8</v>
      </c>
      <c r="C14" s="194">
        <f t="shared" si="0"/>
        <v>0</v>
      </c>
      <c r="D14" s="194">
        <f t="shared" si="1"/>
        <v>0</v>
      </c>
      <c r="E14" s="194">
        <f t="shared" si="2"/>
        <v>1</v>
      </c>
      <c r="F14" s="194">
        <f t="shared" si="3"/>
        <v>0</v>
      </c>
      <c r="G14" s="195">
        <f t="shared" si="4"/>
        <v>0</v>
      </c>
      <c r="H14" s="195">
        <f t="shared" si="5"/>
        <v>0</v>
      </c>
      <c r="I14" s="196">
        <f t="shared" si="6"/>
        <v>5</v>
      </c>
      <c r="J14" s="194">
        <v>2</v>
      </c>
      <c r="K14" s="194">
        <v>1</v>
      </c>
      <c r="L14" s="194">
        <v>1</v>
      </c>
      <c r="M14" s="194">
        <v>1</v>
      </c>
      <c r="N14" s="197">
        <v>6</v>
      </c>
      <c r="O14" s="197">
        <v>7</v>
      </c>
      <c r="P14" s="197">
        <v>4</v>
      </c>
      <c r="Q14" s="197">
        <v>10</v>
      </c>
      <c r="R14" s="198"/>
      <c r="S14" s="468"/>
      <c r="T14" s="468"/>
      <c r="U14" s="468"/>
      <c r="V14" s="468" t="s">
        <v>369</v>
      </c>
      <c r="W14" s="468"/>
      <c r="X14" s="468" t="s">
        <v>369</v>
      </c>
      <c r="Y14" s="468" t="s">
        <v>369</v>
      </c>
      <c r="Z14" s="468" t="s">
        <v>238</v>
      </c>
      <c r="AA14" s="468"/>
      <c r="AB14" s="468" t="s">
        <v>369</v>
      </c>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199"/>
      <c r="BP14" s="199"/>
      <c r="BQ14" s="199"/>
      <c r="BR14" s="199"/>
      <c r="BS14" s="199"/>
      <c r="BT14" s="199"/>
      <c r="BU14" s="199"/>
      <c r="BV14" s="199"/>
      <c r="BW14" s="199"/>
      <c r="BX14" s="199"/>
      <c r="BY14" s="199"/>
      <c r="BZ14" s="199"/>
      <c r="CA14" s="199"/>
      <c r="CB14" s="199"/>
      <c r="CC14" s="199"/>
      <c r="CD14" s="199"/>
      <c r="CE14" s="199"/>
      <c r="CF14" s="199"/>
      <c r="CG14" s="199"/>
      <c r="CH14" s="199"/>
      <c r="CI14" s="199"/>
      <c r="CJ14" s="199"/>
      <c r="CK14" s="199"/>
      <c r="CL14" s="199"/>
      <c r="CM14" s="199"/>
      <c r="CN14" s="199"/>
      <c r="CO14" s="199"/>
      <c r="CP14" s="199"/>
      <c r="CQ14" s="199"/>
      <c r="CR14" s="199"/>
      <c r="CS14" s="199"/>
      <c r="CT14" s="199"/>
    </row>
    <row r="15" spans="1:110" ht="15.75" thickBot="1" x14ac:dyDescent="0.3">
      <c r="A15" s="193">
        <f>IF(LEN(Projects!A11)&gt;0,Projects!A11,"")</f>
        <v>9</v>
      </c>
      <c r="B15" s="127" t="str">
        <f>IF(ISNA(VLOOKUP(A15,Projects!A:B,2,FALSE)), "",VLOOKUP(A15,Projects!A:B,2,FALSE))</f>
        <v>Project 9</v>
      </c>
      <c r="C15" s="194">
        <f t="shared" si="0"/>
        <v>0</v>
      </c>
      <c r="D15" s="194">
        <f t="shared" si="1"/>
        <v>0</v>
      </c>
      <c r="E15" s="194">
        <f t="shared" si="2"/>
        <v>1</v>
      </c>
      <c r="F15" s="194">
        <f t="shared" si="3"/>
        <v>0</v>
      </c>
      <c r="G15" s="195">
        <f t="shared" si="4"/>
        <v>0</v>
      </c>
      <c r="H15" s="195">
        <f t="shared" si="5"/>
        <v>0</v>
      </c>
      <c r="I15" s="196">
        <f t="shared" si="6"/>
        <v>3</v>
      </c>
      <c r="J15" s="194">
        <v>1</v>
      </c>
      <c r="K15" s="194">
        <v>1</v>
      </c>
      <c r="L15" s="194">
        <v>1</v>
      </c>
      <c r="M15" s="194"/>
      <c r="N15" s="197">
        <v>10</v>
      </c>
      <c r="O15" s="197">
        <v>1</v>
      </c>
      <c r="P15" s="197">
        <v>7</v>
      </c>
      <c r="Q15" s="197"/>
      <c r="R15" s="198"/>
      <c r="S15" s="468" t="s">
        <v>369</v>
      </c>
      <c r="T15" s="468"/>
      <c r="U15" s="468"/>
      <c r="V15" s="468"/>
      <c r="W15" s="468"/>
      <c r="X15" s="468"/>
      <c r="Y15" s="468" t="s">
        <v>369</v>
      </c>
      <c r="Z15" s="468"/>
      <c r="AA15" s="468" t="s">
        <v>238</v>
      </c>
      <c r="AB15" s="468" t="s">
        <v>369</v>
      </c>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c r="BK15" s="199"/>
      <c r="BL15" s="199"/>
      <c r="BM15" s="199"/>
      <c r="BN15" s="199"/>
      <c r="BO15" s="199"/>
      <c r="BP15" s="199"/>
      <c r="BQ15" s="199"/>
      <c r="BR15" s="199"/>
      <c r="BS15" s="199"/>
      <c r="BT15" s="199"/>
      <c r="BU15" s="199"/>
      <c r="BV15" s="199"/>
      <c r="BW15" s="199"/>
      <c r="BX15" s="199"/>
      <c r="BY15" s="199"/>
      <c r="BZ15" s="199"/>
      <c r="CA15" s="199"/>
      <c r="CB15" s="199"/>
      <c r="CC15" s="199"/>
      <c r="CD15" s="199"/>
      <c r="CE15" s="199"/>
      <c r="CF15" s="199"/>
      <c r="CG15" s="199"/>
      <c r="CH15" s="199"/>
      <c r="CI15" s="199"/>
      <c r="CJ15" s="199"/>
      <c r="CK15" s="199"/>
      <c r="CL15" s="199"/>
      <c r="CM15" s="199"/>
      <c r="CN15" s="199"/>
      <c r="CO15" s="199"/>
      <c r="CP15" s="199"/>
      <c r="CQ15" s="199"/>
      <c r="CR15" s="199"/>
      <c r="CS15" s="199"/>
      <c r="CT15" s="199"/>
    </row>
    <row r="16" spans="1:110" ht="15.75" thickBot="1" x14ac:dyDescent="0.3">
      <c r="A16" s="193">
        <f>IF(LEN(Projects!A12)&gt;0,Projects!A12,"")</f>
        <v>10</v>
      </c>
      <c r="B16" s="127" t="str">
        <f>IF(ISNA(VLOOKUP(A16,Projects!A:B,2,FALSE)), "",VLOOKUP(A16,Projects!A:B,2,FALSE))</f>
        <v>Project 10</v>
      </c>
      <c r="C16" s="194">
        <f t="shared" si="0"/>
        <v>0</v>
      </c>
      <c r="D16" s="194">
        <f t="shared" si="1"/>
        <v>0</v>
      </c>
      <c r="E16" s="194">
        <f t="shared" si="2"/>
        <v>1</v>
      </c>
      <c r="F16" s="194">
        <f t="shared" si="3"/>
        <v>0</v>
      </c>
      <c r="G16" s="195">
        <f t="shared" si="4"/>
        <v>0</v>
      </c>
      <c r="H16" s="195">
        <f t="shared" si="5"/>
        <v>0</v>
      </c>
      <c r="I16" s="196">
        <f t="shared" si="6"/>
        <v>4</v>
      </c>
      <c r="J16" s="194">
        <v>2</v>
      </c>
      <c r="K16" s="194">
        <v>2</v>
      </c>
      <c r="L16" s="194"/>
      <c r="M16" s="194"/>
      <c r="N16" s="197">
        <v>1</v>
      </c>
      <c r="O16" s="197">
        <v>2</v>
      </c>
      <c r="P16" s="197"/>
      <c r="Q16" s="197"/>
      <c r="R16" s="198"/>
      <c r="S16" s="468" t="s">
        <v>369</v>
      </c>
      <c r="T16" s="468" t="s">
        <v>369</v>
      </c>
      <c r="U16" s="468"/>
      <c r="V16" s="468"/>
      <c r="W16" s="468"/>
      <c r="X16" s="468"/>
      <c r="Y16" s="468"/>
      <c r="Z16" s="468"/>
      <c r="AA16" s="468"/>
      <c r="AB16" s="468" t="s">
        <v>238</v>
      </c>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c r="BO16" s="199"/>
      <c r="BP16" s="199"/>
      <c r="BQ16" s="199"/>
      <c r="BR16" s="199"/>
      <c r="BS16" s="199"/>
      <c r="BT16" s="199"/>
      <c r="BU16" s="199"/>
      <c r="BV16" s="199"/>
      <c r="BW16" s="199"/>
      <c r="BX16" s="199"/>
      <c r="BY16" s="199"/>
      <c r="BZ16" s="199"/>
      <c r="CA16" s="199"/>
      <c r="CB16" s="199"/>
      <c r="CC16" s="199"/>
      <c r="CD16" s="199"/>
      <c r="CE16" s="199"/>
      <c r="CF16" s="199"/>
      <c r="CG16" s="199"/>
      <c r="CH16" s="199"/>
      <c r="CI16" s="199"/>
      <c r="CJ16" s="199"/>
      <c r="CK16" s="199"/>
      <c r="CL16" s="199"/>
      <c r="CM16" s="199"/>
      <c r="CN16" s="199"/>
      <c r="CO16" s="199"/>
      <c r="CP16" s="199"/>
      <c r="CQ16" s="199"/>
      <c r="CR16" s="199"/>
      <c r="CS16" s="199"/>
      <c r="CT16" s="199"/>
    </row>
    <row r="17" spans="1:98" ht="15.75" thickBot="1" x14ac:dyDescent="0.3">
      <c r="A17" s="193">
        <f>IF(LEN(Projects!A13)&gt;0,Projects!A13,"")</f>
        <v>11</v>
      </c>
      <c r="B17" s="127" t="str">
        <f>IF(ISNA(VLOOKUP(A17,Projects!A:B,2,FALSE)), "",VLOOKUP(A17,Projects!A:B,2,FALSE))</f>
        <v>Project 11</v>
      </c>
      <c r="C17" s="194">
        <f t="shared" si="0"/>
        <v>4</v>
      </c>
      <c r="D17" s="194">
        <f t="shared" si="1"/>
        <v>2</v>
      </c>
      <c r="E17" s="194">
        <f t="shared" si="2"/>
        <v>1</v>
      </c>
      <c r="F17" s="194">
        <f t="shared" si="3"/>
        <v>2</v>
      </c>
      <c r="G17" s="195">
        <f t="shared" si="4"/>
        <v>1</v>
      </c>
      <c r="H17" s="195">
        <f t="shared" si="5"/>
        <v>0</v>
      </c>
      <c r="I17" s="196">
        <f t="shared" si="6"/>
        <v>8</v>
      </c>
      <c r="J17" s="194">
        <v>3</v>
      </c>
      <c r="K17" s="194">
        <v>2</v>
      </c>
      <c r="L17" s="194">
        <v>2</v>
      </c>
      <c r="M17" s="194">
        <v>1</v>
      </c>
      <c r="N17" s="197">
        <v>5</v>
      </c>
      <c r="O17" s="197">
        <v>2</v>
      </c>
      <c r="P17" s="197">
        <v>3</v>
      </c>
      <c r="Q17" s="197">
        <v>8</v>
      </c>
      <c r="R17" s="198"/>
      <c r="S17" s="468" t="s">
        <v>238</v>
      </c>
      <c r="T17" s="468" t="s">
        <v>369</v>
      </c>
      <c r="U17" s="468" t="s">
        <v>369</v>
      </c>
      <c r="V17" s="468">
        <v>0.66666666666666663</v>
      </c>
      <c r="W17" s="468" t="s">
        <v>369</v>
      </c>
      <c r="X17" s="468"/>
      <c r="Y17" s="468"/>
      <c r="Z17" s="468" t="s">
        <v>369</v>
      </c>
      <c r="AA17" s="468">
        <v>0.33333333333333331</v>
      </c>
      <c r="AB17" s="468">
        <v>0.33333333333333331</v>
      </c>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c r="BK17" s="199"/>
      <c r="BL17" s="199"/>
      <c r="BM17" s="199"/>
      <c r="BN17" s="199"/>
      <c r="BO17" s="199"/>
      <c r="BP17" s="199"/>
      <c r="BQ17" s="199"/>
      <c r="BR17" s="199"/>
      <c r="BS17" s="199"/>
      <c r="BT17" s="199"/>
      <c r="BU17" s="199"/>
      <c r="BV17" s="199"/>
      <c r="BW17" s="199"/>
      <c r="BX17" s="199"/>
      <c r="BY17" s="199"/>
      <c r="BZ17" s="199"/>
      <c r="CA17" s="199"/>
      <c r="CB17" s="199"/>
      <c r="CC17" s="199"/>
      <c r="CD17" s="199"/>
      <c r="CE17" s="199"/>
      <c r="CF17" s="199"/>
      <c r="CG17" s="199"/>
      <c r="CH17" s="199"/>
      <c r="CI17" s="199"/>
      <c r="CJ17" s="199"/>
      <c r="CK17" s="199"/>
      <c r="CL17" s="199"/>
      <c r="CM17" s="199"/>
      <c r="CN17" s="199"/>
      <c r="CO17" s="199"/>
      <c r="CP17" s="199"/>
      <c r="CQ17" s="199"/>
      <c r="CR17" s="199"/>
      <c r="CS17" s="199"/>
      <c r="CT17" s="199"/>
    </row>
    <row r="18" spans="1:98" ht="15.75" thickBot="1" x14ac:dyDescent="0.3">
      <c r="A18" s="193">
        <f>IF(LEN(Projects!A14)&gt;0,Projects!A14,"")</f>
        <v>12</v>
      </c>
      <c r="B18" s="127" t="str">
        <f>IF(ISNA(VLOOKUP(A18,Projects!A:B,2,FALSE)), "",VLOOKUP(A18,Projects!A:B,2,FALSE))</f>
        <v>Project 12</v>
      </c>
      <c r="C18" s="194">
        <f t="shared" si="0"/>
        <v>1</v>
      </c>
      <c r="D18" s="194">
        <f t="shared" si="1"/>
        <v>1</v>
      </c>
      <c r="E18" s="194">
        <f t="shared" si="2"/>
        <v>1</v>
      </c>
      <c r="F18" s="194">
        <f t="shared" si="3"/>
        <v>1</v>
      </c>
      <c r="G18" s="195">
        <f t="shared" si="4"/>
        <v>0</v>
      </c>
      <c r="H18" s="195">
        <f t="shared" si="5"/>
        <v>0</v>
      </c>
      <c r="I18" s="196">
        <f t="shared" si="6"/>
        <v>8</v>
      </c>
      <c r="J18" s="194">
        <v>3</v>
      </c>
      <c r="K18" s="194">
        <v>2</v>
      </c>
      <c r="L18" s="194">
        <v>2</v>
      </c>
      <c r="M18" s="194">
        <v>1</v>
      </c>
      <c r="N18" s="197">
        <v>3</v>
      </c>
      <c r="O18" s="197">
        <v>9</v>
      </c>
      <c r="P18" s="197">
        <v>10</v>
      </c>
      <c r="Q18" s="197">
        <v>4</v>
      </c>
      <c r="R18" s="198"/>
      <c r="S18" s="468">
        <v>0.33333333333333331</v>
      </c>
      <c r="T18" s="468" t="s">
        <v>238</v>
      </c>
      <c r="U18" s="468" t="s">
        <v>369</v>
      </c>
      <c r="V18" s="468" t="s">
        <v>369</v>
      </c>
      <c r="W18" s="468"/>
      <c r="X18" s="468"/>
      <c r="Y18" s="468"/>
      <c r="Z18" s="468"/>
      <c r="AA18" s="468" t="s">
        <v>369</v>
      </c>
      <c r="AB18" s="468" t="s">
        <v>369</v>
      </c>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199"/>
      <c r="BP18" s="199"/>
      <c r="BQ18" s="199"/>
      <c r="BR18" s="199"/>
      <c r="BS18" s="199"/>
      <c r="BT18" s="199"/>
      <c r="BU18" s="199"/>
      <c r="BV18" s="199"/>
      <c r="BW18" s="199"/>
      <c r="BX18" s="199"/>
      <c r="BY18" s="199"/>
      <c r="BZ18" s="199"/>
      <c r="CA18" s="199"/>
      <c r="CB18" s="199"/>
      <c r="CC18" s="199"/>
      <c r="CD18" s="199"/>
      <c r="CE18" s="199"/>
      <c r="CF18" s="199"/>
      <c r="CG18" s="199"/>
      <c r="CH18" s="199"/>
      <c r="CI18" s="199"/>
      <c r="CJ18" s="199"/>
      <c r="CK18" s="199"/>
      <c r="CL18" s="199"/>
      <c r="CM18" s="199"/>
      <c r="CN18" s="199"/>
      <c r="CO18" s="199"/>
      <c r="CP18" s="199"/>
      <c r="CQ18" s="199"/>
      <c r="CR18" s="199"/>
      <c r="CS18" s="199"/>
      <c r="CT18" s="199"/>
    </row>
    <row r="19" spans="1:98" ht="15.75" thickBot="1" x14ac:dyDescent="0.3">
      <c r="A19" s="193">
        <f>IF(LEN(Projects!A15)&gt;0,Projects!A15,"")</f>
        <v>13</v>
      </c>
      <c r="B19" s="127" t="str">
        <f>IF(ISNA(VLOOKUP(A19,Projects!A:B,2,FALSE)), "",VLOOKUP(A19,Projects!A:B,2,FALSE))</f>
        <v>Project 13</v>
      </c>
      <c r="C19" s="194">
        <f t="shared" si="0"/>
        <v>1</v>
      </c>
      <c r="D19" s="194">
        <f t="shared" si="1"/>
        <v>1</v>
      </c>
      <c r="E19" s="194">
        <f t="shared" si="2"/>
        <v>1</v>
      </c>
      <c r="F19" s="194">
        <f t="shared" si="3"/>
        <v>1</v>
      </c>
      <c r="G19" s="195">
        <f t="shared" si="4"/>
        <v>0</v>
      </c>
      <c r="H19" s="195">
        <f t="shared" si="5"/>
        <v>0</v>
      </c>
      <c r="I19" s="196">
        <f t="shared" si="6"/>
        <v>5</v>
      </c>
      <c r="J19" s="194">
        <v>2</v>
      </c>
      <c r="K19" s="194">
        <v>1</v>
      </c>
      <c r="L19" s="194">
        <v>1</v>
      </c>
      <c r="M19" s="194">
        <v>1</v>
      </c>
      <c r="N19" s="197">
        <v>8</v>
      </c>
      <c r="O19" s="197">
        <v>2</v>
      </c>
      <c r="P19" s="197">
        <v>9</v>
      </c>
      <c r="Q19" s="197">
        <v>7</v>
      </c>
      <c r="R19" s="198"/>
      <c r="S19" s="468"/>
      <c r="T19" s="468" t="s">
        <v>369</v>
      </c>
      <c r="U19" s="468" t="s">
        <v>238</v>
      </c>
      <c r="V19" s="468">
        <v>0.33333333333333331</v>
      </c>
      <c r="W19" s="468"/>
      <c r="X19" s="468"/>
      <c r="Y19" s="468" t="s">
        <v>369</v>
      </c>
      <c r="Z19" s="468" t="s">
        <v>369</v>
      </c>
      <c r="AA19" s="468" t="s">
        <v>369</v>
      </c>
      <c r="AB19" s="468"/>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199"/>
      <c r="BP19" s="199"/>
      <c r="BQ19" s="199"/>
      <c r="BR19" s="199"/>
      <c r="BS19" s="199"/>
      <c r="BT19" s="199"/>
      <c r="BU19" s="199"/>
      <c r="BV19" s="199"/>
      <c r="BW19" s="199"/>
      <c r="BX19" s="199"/>
      <c r="BY19" s="199"/>
      <c r="BZ19" s="199"/>
      <c r="CA19" s="199"/>
      <c r="CB19" s="199"/>
      <c r="CC19" s="199"/>
      <c r="CD19" s="199"/>
      <c r="CE19" s="199"/>
      <c r="CF19" s="199"/>
      <c r="CG19" s="199"/>
      <c r="CH19" s="199"/>
      <c r="CI19" s="199"/>
      <c r="CJ19" s="199"/>
      <c r="CK19" s="199"/>
      <c r="CL19" s="199"/>
      <c r="CM19" s="199"/>
      <c r="CN19" s="199"/>
      <c r="CO19" s="199"/>
      <c r="CP19" s="199"/>
      <c r="CQ19" s="199"/>
      <c r="CR19" s="199"/>
      <c r="CS19" s="199"/>
      <c r="CT19" s="199"/>
    </row>
    <row r="20" spans="1:98" ht="15.75" thickBot="1" x14ac:dyDescent="0.3">
      <c r="A20" s="193">
        <f>IF(LEN(Projects!A16)&gt;0,Projects!A16,"")</f>
        <v>14</v>
      </c>
      <c r="B20" s="127" t="str">
        <f>IF(ISNA(VLOOKUP(A20,Projects!A:B,2,FALSE)), "",VLOOKUP(A20,Projects!A:B,2,FALSE))</f>
        <v>Project 14</v>
      </c>
      <c r="C20" s="194">
        <f t="shared" si="0"/>
        <v>1</v>
      </c>
      <c r="D20" s="194">
        <f t="shared" si="1"/>
        <v>1</v>
      </c>
      <c r="E20" s="194">
        <f t="shared" si="2"/>
        <v>1</v>
      </c>
      <c r="F20" s="194">
        <f t="shared" si="3"/>
        <v>1</v>
      </c>
      <c r="G20" s="195">
        <f t="shared" si="4"/>
        <v>0</v>
      </c>
      <c r="H20" s="195">
        <f t="shared" si="5"/>
        <v>0</v>
      </c>
      <c r="I20" s="196">
        <f t="shared" si="6"/>
        <v>6</v>
      </c>
      <c r="J20" s="194">
        <v>3</v>
      </c>
      <c r="K20" s="194">
        <v>1</v>
      </c>
      <c r="L20" s="194">
        <v>1</v>
      </c>
      <c r="M20" s="194">
        <v>1</v>
      </c>
      <c r="N20" s="197">
        <v>2</v>
      </c>
      <c r="O20" s="197">
        <v>1</v>
      </c>
      <c r="P20" s="197">
        <v>8</v>
      </c>
      <c r="Q20" s="197">
        <v>9</v>
      </c>
      <c r="R20" s="198"/>
      <c r="S20" s="468" t="s">
        <v>369</v>
      </c>
      <c r="T20" s="468" t="s">
        <v>369</v>
      </c>
      <c r="U20" s="468">
        <v>0.33333333333333331</v>
      </c>
      <c r="V20" s="468" t="s">
        <v>238</v>
      </c>
      <c r="W20" s="468"/>
      <c r="X20" s="468"/>
      <c r="Y20" s="468"/>
      <c r="Z20" s="468" t="s">
        <v>369</v>
      </c>
      <c r="AA20" s="468" t="s">
        <v>369</v>
      </c>
      <c r="AB20" s="468"/>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199"/>
      <c r="BP20" s="199"/>
      <c r="BQ20" s="199"/>
      <c r="BR20" s="199"/>
      <c r="BS20" s="199"/>
      <c r="BT20" s="199"/>
      <c r="BU20" s="199"/>
      <c r="BV20" s="199"/>
      <c r="BW20" s="199"/>
      <c r="BX20" s="199"/>
      <c r="BY20" s="199"/>
      <c r="BZ20" s="199"/>
      <c r="CA20" s="199"/>
      <c r="CB20" s="199"/>
      <c r="CC20" s="199"/>
      <c r="CD20" s="199"/>
      <c r="CE20" s="199"/>
      <c r="CF20" s="199"/>
      <c r="CG20" s="199"/>
      <c r="CH20" s="199"/>
      <c r="CI20" s="199"/>
      <c r="CJ20" s="199"/>
      <c r="CK20" s="199"/>
      <c r="CL20" s="199"/>
      <c r="CM20" s="199"/>
      <c r="CN20" s="199"/>
      <c r="CO20" s="199"/>
      <c r="CP20" s="199"/>
      <c r="CQ20" s="199"/>
      <c r="CR20" s="199"/>
      <c r="CS20" s="199"/>
      <c r="CT20" s="199"/>
    </row>
    <row r="21" spans="1:98" ht="15.75" thickBot="1" x14ac:dyDescent="0.3">
      <c r="A21" s="193">
        <f>IF(LEN(Projects!A17)&gt;0,Projects!A17,"")</f>
        <v>15</v>
      </c>
      <c r="B21" s="127" t="str">
        <f>IF(ISNA(VLOOKUP(A21,Projects!A:B,2,FALSE)), "",VLOOKUP(A21,Projects!A:B,2,FALSE))</f>
        <v>Project 15</v>
      </c>
      <c r="C21" s="194">
        <f t="shared" si="0"/>
        <v>4</v>
      </c>
      <c r="D21" s="194">
        <f t="shared" si="1"/>
        <v>2</v>
      </c>
      <c r="E21" s="194">
        <f t="shared" si="2"/>
        <v>0</v>
      </c>
      <c r="F21" s="194">
        <f t="shared" si="3"/>
        <v>2</v>
      </c>
      <c r="G21" s="195">
        <f t="shared" si="4"/>
        <v>1</v>
      </c>
      <c r="H21" s="195">
        <f t="shared" si="5"/>
        <v>0</v>
      </c>
      <c r="I21" s="196">
        <f t="shared" si="6"/>
        <v>7</v>
      </c>
      <c r="J21" s="194">
        <v>2</v>
      </c>
      <c r="K21" s="194">
        <v>2</v>
      </c>
      <c r="L21" s="194">
        <v>2</v>
      </c>
      <c r="M21" s="194">
        <v>1</v>
      </c>
      <c r="N21" s="197">
        <v>1</v>
      </c>
      <c r="O21" s="197">
        <v>7</v>
      </c>
      <c r="P21" s="197">
        <v>2</v>
      </c>
      <c r="Q21" s="197">
        <v>8</v>
      </c>
      <c r="R21" s="198"/>
      <c r="S21" s="468" t="s">
        <v>369</v>
      </c>
      <c r="T21" s="468" t="s">
        <v>369</v>
      </c>
      <c r="U21" s="468"/>
      <c r="V21" s="468">
        <v>0.33333333333333331</v>
      </c>
      <c r="W21" s="468">
        <v>0.33333333333333331</v>
      </c>
      <c r="X21" s="468"/>
      <c r="Y21" s="468" t="s">
        <v>369</v>
      </c>
      <c r="Z21" s="468" t="s">
        <v>369</v>
      </c>
      <c r="AA21" s="468">
        <v>0.66666666666666663</v>
      </c>
      <c r="AB21" s="468"/>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c r="CK21" s="199"/>
      <c r="CL21" s="199"/>
      <c r="CM21" s="199"/>
      <c r="CN21" s="199"/>
      <c r="CO21" s="199"/>
      <c r="CP21" s="199"/>
      <c r="CQ21" s="199"/>
      <c r="CR21" s="199"/>
      <c r="CS21" s="199"/>
      <c r="CT21" s="199"/>
    </row>
    <row r="22" spans="1:98" ht="15.75" thickBot="1" x14ac:dyDescent="0.3">
      <c r="A22" s="193">
        <f>IF(LEN(Projects!A18)&gt;0,Projects!A18,"")</f>
        <v>16</v>
      </c>
      <c r="B22" s="127" t="str">
        <f>IF(ISNA(VLOOKUP(A22,Projects!A:B,2,FALSE)), "",VLOOKUP(A22,Projects!A:B,2,FALSE))</f>
        <v>Project 16</v>
      </c>
      <c r="C22" s="194">
        <f t="shared" si="0"/>
        <v>0</v>
      </c>
      <c r="D22" s="194">
        <f t="shared" si="1"/>
        <v>0</v>
      </c>
      <c r="E22" s="194">
        <f t="shared" si="2"/>
        <v>1</v>
      </c>
      <c r="F22" s="194">
        <f t="shared" si="3"/>
        <v>0</v>
      </c>
      <c r="G22" s="195">
        <f t="shared" si="4"/>
        <v>0</v>
      </c>
      <c r="H22" s="195">
        <f t="shared" si="5"/>
        <v>0</v>
      </c>
      <c r="I22" s="196">
        <f t="shared" si="6"/>
        <v>5</v>
      </c>
      <c r="J22" s="194">
        <v>2</v>
      </c>
      <c r="K22" s="194">
        <v>2</v>
      </c>
      <c r="L22" s="194">
        <v>1</v>
      </c>
      <c r="M22" s="194"/>
      <c r="N22" s="197">
        <v>9</v>
      </c>
      <c r="O22" s="197">
        <v>8</v>
      </c>
      <c r="P22" s="197">
        <v>1</v>
      </c>
      <c r="Q22" s="197"/>
      <c r="R22" s="198"/>
      <c r="S22" s="468" t="s">
        <v>369</v>
      </c>
      <c r="T22" s="468"/>
      <c r="U22" s="468"/>
      <c r="V22" s="468"/>
      <c r="W22" s="468"/>
      <c r="X22" s="468" t="s">
        <v>238</v>
      </c>
      <c r="Y22" s="468"/>
      <c r="Z22" s="468" t="s">
        <v>369</v>
      </c>
      <c r="AA22" s="468" t="s">
        <v>369</v>
      </c>
      <c r="AB22" s="468"/>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199"/>
      <c r="BP22" s="199"/>
      <c r="BQ22" s="199"/>
      <c r="BR22" s="199"/>
      <c r="BS22" s="199"/>
      <c r="BT22" s="199"/>
      <c r="BU22" s="199"/>
      <c r="BV22" s="199"/>
      <c r="BW22" s="199"/>
      <c r="BX22" s="199"/>
      <c r="BY22" s="199"/>
      <c r="BZ22" s="199"/>
      <c r="CA22" s="199"/>
      <c r="CB22" s="199"/>
      <c r="CC22" s="199"/>
      <c r="CD22" s="199"/>
      <c r="CE22" s="199"/>
      <c r="CF22" s="199"/>
      <c r="CG22" s="199"/>
      <c r="CH22" s="199"/>
      <c r="CI22" s="199"/>
      <c r="CJ22" s="199"/>
      <c r="CK22" s="199"/>
      <c r="CL22" s="199"/>
      <c r="CM22" s="199"/>
      <c r="CN22" s="199"/>
      <c r="CO22" s="199"/>
      <c r="CP22" s="199"/>
      <c r="CQ22" s="199"/>
      <c r="CR22" s="199"/>
      <c r="CS22" s="199"/>
      <c r="CT22" s="199"/>
    </row>
    <row r="23" spans="1:98" ht="15.75" thickBot="1" x14ac:dyDescent="0.3">
      <c r="A23" s="193">
        <f>IF(LEN(Projects!A19)&gt;0,Projects!A19,"")</f>
        <v>17</v>
      </c>
      <c r="B23" s="127" t="str">
        <f>IF(ISNA(VLOOKUP(A23,Projects!A:B,2,FALSE)), "",VLOOKUP(A23,Projects!A:B,2,FALSE))</f>
        <v>Project 17</v>
      </c>
      <c r="C23" s="194">
        <f t="shared" si="0"/>
        <v>2</v>
      </c>
      <c r="D23" s="194">
        <f t="shared" si="1"/>
        <v>2</v>
      </c>
      <c r="E23" s="194">
        <f t="shared" si="2"/>
        <v>1</v>
      </c>
      <c r="F23" s="194">
        <f t="shared" si="3"/>
        <v>2</v>
      </c>
      <c r="G23" s="195">
        <f t="shared" si="4"/>
        <v>0</v>
      </c>
      <c r="H23" s="195">
        <f t="shared" si="5"/>
        <v>0</v>
      </c>
      <c r="I23" s="196">
        <f t="shared" si="6"/>
        <v>4</v>
      </c>
      <c r="J23" s="194">
        <v>1</v>
      </c>
      <c r="K23" s="194">
        <v>1</v>
      </c>
      <c r="L23" s="194">
        <v>1</v>
      </c>
      <c r="M23" s="194">
        <v>1</v>
      </c>
      <c r="N23" s="197">
        <v>4</v>
      </c>
      <c r="O23" s="197">
        <v>5</v>
      </c>
      <c r="P23" s="197">
        <v>6</v>
      </c>
      <c r="Q23" s="197">
        <v>2</v>
      </c>
      <c r="R23" s="198"/>
      <c r="S23" s="468"/>
      <c r="T23" s="468" t="s">
        <v>369</v>
      </c>
      <c r="U23" s="468"/>
      <c r="V23" s="468" t="s">
        <v>369</v>
      </c>
      <c r="W23" s="468" t="s">
        <v>369</v>
      </c>
      <c r="X23" s="468" t="s">
        <v>369</v>
      </c>
      <c r="Y23" s="468" t="s">
        <v>238</v>
      </c>
      <c r="Z23" s="468"/>
      <c r="AA23" s="468">
        <v>0.33333333333333331</v>
      </c>
      <c r="AB23" s="468">
        <v>0.33333333333333331</v>
      </c>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199"/>
      <c r="BP23" s="199"/>
      <c r="BQ23" s="199"/>
      <c r="BR23" s="199"/>
      <c r="BS23" s="199"/>
      <c r="BT23" s="199"/>
      <c r="BU23" s="199"/>
      <c r="BV23" s="199"/>
      <c r="BW23" s="199"/>
      <c r="BX23" s="199"/>
      <c r="BY23" s="199"/>
      <c r="BZ23" s="199"/>
      <c r="CA23" s="199"/>
      <c r="CB23" s="199"/>
      <c r="CC23" s="199"/>
      <c r="CD23" s="199"/>
      <c r="CE23" s="199"/>
      <c r="CF23" s="199"/>
      <c r="CG23" s="199"/>
      <c r="CH23" s="199"/>
      <c r="CI23" s="199"/>
      <c r="CJ23" s="199"/>
      <c r="CK23" s="199"/>
      <c r="CL23" s="199"/>
      <c r="CM23" s="199"/>
      <c r="CN23" s="199"/>
      <c r="CO23" s="199"/>
      <c r="CP23" s="199"/>
      <c r="CQ23" s="199"/>
      <c r="CR23" s="199"/>
      <c r="CS23" s="199"/>
      <c r="CT23" s="199"/>
    </row>
    <row r="24" spans="1:98" ht="15.75" thickBot="1" x14ac:dyDescent="0.3">
      <c r="A24" s="193">
        <f>IF(LEN(Projects!A20)&gt;0,Projects!A20,"")</f>
        <v>18</v>
      </c>
      <c r="B24" s="127" t="str">
        <f>IF(ISNA(VLOOKUP(A24,Projects!A:B,2,FALSE)), "",VLOOKUP(A24,Projects!A:B,2,FALSE))</f>
        <v>Project 18</v>
      </c>
      <c r="C24" s="194">
        <f t="shared" si="0"/>
        <v>3</v>
      </c>
      <c r="D24" s="194">
        <f t="shared" si="1"/>
        <v>3</v>
      </c>
      <c r="E24" s="194">
        <f t="shared" si="2"/>
        <v>1</v>
      </c>
      <c r="F24" s="194">
        <f t="shared" si="3"/>
        <v>3</v>
      </c>
      <c r="G24" s="195">
        <f t="shared" si="4"/>
        <v>0</v>
      </c>
      <c r="H24" s="195">
        <f t="shared" si="5"/>
        <v>0</v>
      </c>
      <c r="I24" s="196">
        <f t="shared" si="6"/>
        <v>7</v>
      </c>
      <c r="J24" s="194">
        <v>3</v>
      </c>
      <c r="K24" s="194">
        <v>2</v>
      </c>
      <c r="L24" s="194">
        <v>1</v>
      </c>
      <c r="M24" s="194">
        <v>1</v>
      </c>
      <c r="N24" s="197">
        <v>2</v>
      </c>
      <c r="O24" s="197">
        <v>1</v>
      </c>
      <c r="P24" s="197">
        <v>3</v>
      </c>
      <c r="Q24" s="197">
        <v>9</v>
      </c>
      <c r="R24" s="198"/>
      <c r="S24" s="468" t="s">
        <v>369</v>
      </c>
      <c r="T24" s="468" t="s">
        <v>369</v>
      </c>
      <c r="U24" s="468" t="s">
        <v>369</v>
      </c>
      <c r="V24" s="468">
        <v>0.33333333333333331</v>
      </c>
      <c r="W24" s="468"/>
      <c r="X24" s="468">
        <v>0.33333333333333331</v>
      </c>
      <c r="Y24" s="468">
        <v>0.33333333333333331</v>
      </c>
      <c r="Z24" s="468" t="s">
        <v>238</v>
      </c>
      <c r="AA24" s="468" t="s">
        <v>369</v>
      </c>
      <c r="AB24" s="468"/>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c r="CK24" s="199"/>
      <c r="CL24" s="199"/>
      <c r="CM24" s="199"/>
      <c r="CN24" s="199"/>
      <c r="CO24" s="199"/>
      <c r="CP24" s="199"/>
      <c r="CQ24" s="199"/>
      <c r="CR24" s="199"/>
      <c r="CS24" s="199"/>
      <c r="CT24" s="199"/>
    </row>
    <row r="25" spans="1:98" ht="15.75" thickBot="1" x14ac:dyDescent="0.3">
      <c r="A25" s="193">
        <f>IF(LEN(Projects!A21)&gt;0,Projects!A21,"")</f>
        <v>19</v>
      </c>
      <c r="B25" s="127" t="str">
        <f>IF(ISNA(VLOOKUP(A25,Projects!A:B,2,FALSE)), "",VLOOKUP(A25,Projects!A:B,2,FALSE))</f>
        <v>Project 19</v>
      </c>
      <c r="C25" s="194">
        <f t="shared" si="0"/>
        <v>3</v>
      </c>
      <c r="D25" s="194">
        <f t="shared" si="1"/>
        <v>3</v>
      </c>
      <c r="E25" s="194">
        <f t="shared" si="2"/>
        <v>1</v>
      </c>
      <c r="F25" s="194">
        <f t="shared" si="3"/>
        <v>3</v>
      </c>
      <c r="G25" s="195">
        <f t="shared" si="4"/>
        <v>0</v>
      </c>
      <c r="H25" s="195">
        <f t="shared" si="5"/>
        <v>0</v>
      </c>
      <c r="I25" s="196">
        <f t="shared" si="6"/>
        <v>6</v>
      </c>
      <c r="J25" s="194">
        <v>2</v>
      </c>
      <c r="K25" s="194">
        <v>2</v>
      </c>
      <c r="L25" s="194">
        <v>1</v>
      </c>
      <c r="M25" s="194">
        <v>1</v>
      </c>
      <c r="N25" s="197">
        <v>4</v>
      </c>
      <c r="O25" s="197">
        <v>1</v>
      </c>
      <c r="P25" s="197">
        <v>5</v>
      </c>
      <c r="Q25" s="197">
        <v>6</v>
      </c>
      <c r="R25" s="198"/>
      <c r="S25" s="468" t="s">
        <v>369</v>
      </c>
      <c r="T25" s="468"/>
      <c r="U25" s="468">
        <v>0.33333333333333331</v>
      </c>
      <c r="V25" s="468" t="s">
        <v>369</v>
      </c>
      <c r="W25" s="468" t="s">
        <v>369</v>
      </c>
      <c r="X25" s="468" t="s">
        <v>369</v>
      </c>
      <c r="Y25" s="468"/>
      <c r="Z25" s="468">
        <v>0.33333333333333331</v>
      </c>
      <c r="AA25" s="468" t="s">
        <v>238</v>
      </c>
      <c r="AB25" s="468">
        <v>0.33333333333333331</v>
      </c>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c r="CK25" s="199"/>
      <c r="CL25" s="199"/>
      <c r="CM25" s="199"/>
      <c r="CN25" s="199"/>
      <c r="CO25" s="199"/>
      <c r="CP25" s="199"/>
      <c r="CQ25" s="199"/>
      <c r="CR25" s="199"/>
      <c r="CS25" s="199"/>
      <c r="CT25" s="199"/>
    </row>
    <row r="26" spans="1:98" ht="15.75" thickBot="1" x14ac:dyDescent="0.3">
      <c r="A26" s="193">
        <f>IF(LEN(Projects!A22)&gt;0,Projects!A22,"")</f>
        <v>20</v>
      </c>
      <c r="B26" s="127" t="str">
        <f>IF(ISNA(VLOOKUP(A26,Projects!A:B,2,FALSE)), "",VLOOKUP(A26,Projects!A:B,2,FALSE))</f>
        <v>Project 20</v>
      </c>
      <c r="C26" s="194">
        <f t="shared" si="0"/>
        <v>3</v>
      </c>
      <c r="D26" s="194">
        <f t="shared" si="1"/>
        <v>3</v>
      </c>
      <c r="E26" s="194">
        <f t="shared" si="2"/>
        <v>1</v>
      </c>
      <c r="F26" s="194">
        <f t="shared" si="3"/>
        <v>3</v>
      </c>
      <c r="G26" s="195">
        <f t="shared" si="4"/>
        <v>0</v>
      </c>
      <c r="H26" s="195">
        <f t="shared" si="5"/>
        <v>0</v>
      </c>
      <c r="I26" s="196">
        <f t="shared" si="6"/>
        <v>9</v>
      </c>
      <c r="J26" s="194">
        <v>3</v>
      </c>
      <c r="K26" s="194">
        <v>2</v>
      </c>
      <c r="L26" s="194">
        <v>2</v>
      </c>
      <c r="M26" s="194">
        <v>2</v>
      </c>
      <c r="N26" s="197">
        <v>9</v>
      </c>
      <c r="O26" s="197">
        <v>4</v>
      </c>
      <c r="P26" s="197">
        <v>6</v>
      </c>
      <c r="Q26" s="197">
        <v>7</v>
      </c>
      <c r="R26" s="198"/>
      <c r="S26" s="468"/>
      <c r="T26" s="468">
        <v>0.33333333333333331</v>
      </c>
      <c r="U26" s="468">
        <v>0.33333333333333331</v>
      </c>
      <c r="V26" s="468" t="s">
        <v>369</v>
      </c>
      <c r="W26" s="468">
        <v>0.33333333333333331</v>
      </c>
      <c r="X26" s="468" t="s">
        <v>369</v>
      </c>
      <c r="Y26" s="468" t="s">
        <v>369</v>
      </c>
      <c r="Z26" s="468"/>
      <c r="AA26" s="468" t="s">
        <v>369</v>
      </c>
      <c r="AB26" s="468" t="s">
        <v>238</v>
      </c>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c r="CK26" s="199"/>
      <c r="CL26" s="199"/>
      <c r="CM26" s="199"/>
      <c r="CN26" s="199"/>
      <c r="CO26" s="199"/>
      <c r="CP26" s="199"/>
      <c r="CQ26" s="199"/>
      <c r="CR26" s="199"/>
      <c r="CS26" s="199"/>
      <c r="CT26" s="199"/>
    </row>
    <row r="27" spans="1:98" ht="15.75" thickBot="1" x14ac:dyDescent="0.3">
      <c r="A27" s="193">
        <f>IF(LEN(Projects!A23)&gt;0,Projects!A23,"")</f>
        <v>21</v>
      </c>
      <c r="B27" s="127" t="str">
        <f>IF(ISNA(VLOOKUP(A27,Projects!A:B,2,FALSE)), "",VLOOKUP(A27,Projects!A:B,2,FALSE))</f>
        <v>Project 21</v>
      </c>
      <c r="C27" s="194">
        <f t="shared" si="0"/>
        <v>0</v>
      </c>
      <c r="D27" s="194">
        <f t="shared" si="1"/>
        <v>0</v>
      </c>
      <c r="E27" s="194">
        <f t="shared" si="2"/>
        <v>1</v>
      </c>
      <c r="F27" s="194">
        <f t="shared" si="3"/>
        <v>0</v>
      </c>
      <c r="G27" s="195">
        <f t="shared" si="4"/>
        <v>0</v>
      </c>
      <c r="H27" s="195">
        <f t="shared" si="5"/>
        <v>0</v>
      </c>
      <c r="I27" s="196">
        <f t="shared" si="6"/>
        <v>3</v>
      </c>
      <c r="J27" s="194">
        <v>1</v>
      </c>
      <c r="K27" s="194">
        <v>1</v>
      </c>
      <c r="L27" s="194">
        <v>1</v>
      </c>
      <c r="M27" s="194"/>
      <c r="N27" s="197">
        <v>7</v>
      </c>
      <c r="O27" s="197">
        <v>3</v>
      </c>
      <c r="P27" s="197">
        <v>8</v>
      </c>
      <c r="Q27" s="197"/>
      <c r="R27" s="198"/>
      <c r="S27" s="468" t="s">
        <v>238</v>
      </c>
      <c r="T27" s="468"/>
      <c r="U27" s="468" t="s">
        <v>369</v>
      </c>
      <c r="V27" s="468"/>
      <c r="W27" s="468"/>
      <c r="X27" s="468"/>
      <c r="Y27" s="468" t="s">
        <v>369</v>
      </c>
      <c r="Z27" s="468" t="s">
        <v>369</v>
      </c>
      <c r="AA27" s="468"/>
      <c r="AB27" s="468"/>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c r="CK27" s="199"/>
      <c r="CL27" s="199"/>
      <c r="CM27" s="199"/>
      <c r="CN27" s="199"/>
      <c r="CO27" s="199"/>
      <c r="CP27" s="199"/>
      <c r="CQ27" s="199"/>
      <c r="CR27" s="199"/>
      <c r="CS27" s="199"/>
      <c r="CT27" s="199"/>
    </row>
    <row r="28" spans="1:98" ht="15.75" thickBot="1" x14ac:dyDescent="0.3">
      <c r="A28" s="193">
        <f>IF(LEN(Projects!A24)&gt;0,Projects!A24,"")</f>
        <v>22</v>
      </c>
      <c r="B28" s="127" t="str">
        <f>IF(ISNA(VLOOKUP(A28,Projects!A:B,2,FALSE)), "",VLOOKUP(A28,Projects!A:B,2,FALSE))</f>
        <v>Project 22</v>
      </c>
      <c r="C28" s="194">
        <f t="shared" si="0"/>
        <v>2</v>
      </c>
      <c r="D28" s="194">
        <f t="shared" si="1"/>
        <v>2</v>
      </c>
      <c r="E28" s="194">
        <f t="shared" si="2"/>
        <v>1</v>
      </c>
      <c r="F28" s="194">
        <f t="shared" si="3"/>
        <v>2</v>
      </c>
      <c r="G28" s="195">
        <f t="shared" si="4"/>
        <v>0</v>
      </c>
      <c r="H28" s="195">
        <f t="shared" si="5"/>
        <v>0</v>
      </c>
      <c r="I28" s="196">
        <f t="shared" si="6"/>
        <v>7</v>
      </c>
      <c r="J28" s="194">
        <v>2</v>
      </c>
      <c r="K28" s="194">
        <v>2</v>
      </c>
      <c r="L28" s="194">
        <v>2</v>
      </c>
      <c r="M28" s="194">
        <v>1</v>
      </c>
      <c r="N28" s="197">
        <v>1</v>
      </c>
      <c r="O28" s="197">
        <v>10</v>
      </c>
      <c r="P28" s="197">
        <v>5</v>
      </c>
      <c r="Q28" s="197">
        <v>8</v>
      </c>
      <c r="R28" s="198"/>
      <c r="S28" s="468" t="s">
        <v>369</v>
      </c>
      <c r="T28" s="468" t="s">
        <v>238</v>
      </c>
      <c r="U28" s="468"/>
      <c r="V28" s="468">
        <v>0.33333333333333331</v>
      </c>
      <c r="W28" s="468" t="s">
        <v>369</v>
      </c>
      <c r="X28" s="468"/>
      <c r="Y28" s="468"/>
      <c r="Z28" s="468" t="s">
        <v>369</v>
      </c>
      <c r="AA28" s="468">
        <v>0.33333333333333331</v>
      </c>
      <c r="AB28" s="468" t="s">
        <v>369</v>
      </c>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c r="CK28" s="199"/>
      <c r="CL28" s="199"/>
      <c r="CM28" s="199"/>
      <c r="CN28" s="199"/>
      <c r="CO28" s="199"/>
      <c r="CP28" s="199"/>
      <c r="CQ28" s="199"/>
      <c r="CR28" s="199"/>
      <c r="CS28" s="199"/>
      <c r="CT28" s="199"/>
    </row>
    <row r="29" spans="1:98" ht="15.75" thickBot="1" x14ac:dyDescent="0.3">
      <c r="A29" s="193">
        <f>IF(LEN(Projects!A25)&gt;0,Projects!A25,"")</f>
        <v>23</v>
      </c>
      <c r="B29" s="127" t="str">
        <f>IF(ISNA(VLOOKUP(A29,Projects!A:B,2,FALSE)), "",VLOOKUP(A29,Projects!A:B,2,FALSE))</f>
        <v>Project 23</v>
      </c>
      <c r="C29" s="194">
        <f t="shared" si="0"/>
        <v>4</v>
      </c>
      <c r="D29" s="194">
        <f t="shared" si="1"/>
        <v>4</v>
      </c>
      <c r="E29" s="194">
        <f t="shared" si="2"/>
        <v>1</v>
      </c>
      <c r="F29" s="194">
        <f t="shared" si="3"/>
        <v>4</v>
      </c>
      <c r="G29" s="195">
        <f t="shared" si="4"/>
        <v>0</v>
      </c>
      <c r="H29" s="195">
        <f t="shared" si="5"/>
        <v>0</v>
      </c>
      <c r="I29" s="196">
        <f t="shared" si="6"/>
        <v>8</v>
      </c>
      <c r="J29" s="194">
        <v>3</v>
      </c>
      <c r="K29" s="194">
        <v>2</v>
      </c>
      <c r="L29" s="194">
        <v>2</v>
      </c>
      <c r="M29" s="194">
        <v>1</v>
      </c>
      <c r="N29" s="197">
        <v>2</v>
      </c>
      <c r="O29" s="197">
        <v>4</v>
      </c>
      <c r="P29" s="197">
        <v>8</v>
      </c>
      <c r="Q29" s="197">
        <v>5</v>
      </c>
      <c r="R29" s="198"/>
      <c r="S29" s="468"/>
      <c r="T29" s="468" t="s">
        <v>369</v>
      </c>
      <c r="U29" s="468" t="s">
        <v>238</v>
      </c>
      <c r="V29" s="468" t="s">
        <v>369</v>
      </c>
      <c r="W29" s="468" t="s">
        <v>369</v>
      </c>
      <c r="X29" s="468">
        <v>0.33333333333333331</v>
      </c>
      <c r="Y29" s="468">
        <v>0.33333333333333331</v>
      </c>
      <c r="Z29" s="468" t="s">
        <v>369</v>
      </c>
      <c r="AA29" s="468">
        <v>0.33333333333333331</v>
      </c>
      <c r="AB29" s="468">
        <v>0.33333333333333331</v>
      </c>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c r="CK29" s="199"/>
      <c r="CL29" s="199"/>
      <c r="CM29" s="199"/>
      <c r="CN29" s="199"/>
      <c r="CO29" s="199"/>
      <c r="CP29" s="199"/>
      <c r="CQ29" s="199"/>
      <c r="CR29" s="199"/>
      <c r="CS29" s="199"/>
      <c r="CT29" s="199"/>
    </row>
    <row r="30" spans="1:98" ht="15.75" thickBot="1" x14ac:dyDescent="0.3">
      <c r="A30" s="193">
        <f>IF(LEN(Projects!A26)&gt;0,Projects!A26,"")</f>
        <v>24</v>
      </c>
      <c r="B30" s="127" t="str">
        <f>IF(ISNA(VLOOKUP(A30,Projects!A:B,2,FALSE)), "",VLOOKUP(A30,Projects!A:B,2,FALSE))</f>
        <v>Project 24</v>
      </c>
      <c r="C30" s="194">
        <f t="shared" si="0"/>
        <v>2</v>
      </c>
      <c r="D30" s="194">
        <f t="shared" si="1"/>
        <v>2</v>
      </c>
      <c r="E30" s="194">
        <f t="shared" si="2"/>
        <v>1</v>
      </c>
      <c r="F30" s="194">
        <f t="shared" si="3"/>
        <v>2</v>
      </c>
      <c r="G30" s="195">
        <f t="shared" si="4"/>
        <v>0</v>
      </c>
      <c r="H30" s="195">
        <f t="shared" si="5"/>
        <v>0</v>
      </c>
      <c r="I30" s="196">
        <f t="shared" si="6"/>
        <v>4</v>
      </c>
      <c r="J30" s="194">
        <v>1</v>
      </c>
      <c r="K30" s="194">
        <v>1</v>
      </c>
      <c r="L30" s="194">
        <v>1</v>
      </c>
      <c r="M30" s="194">
        <v>1</v>
      </c>
      <c r="N30" s="197">
        <v>9</v>
      </c>
      <c r="O30" s="197">
        <v>6</v>
      </c>
      <c r="P30" s="197">
        <v>5</v>
      </c>
      <c r="Q30" s="197">
        <v>3</v>
      </c>
      <c r="R30" s="198"/>
      <c r="S30" s="468">
        <v>0.33333333333333331</v>
      </c>
      <c r="T30" s="468">
        <v>0.33333333333333331</v>
      </c>
      <c r="U30" s="468" t="s">
        <v>369</v>
      </c>
      <c r="V30" s="468" t="s">
        <v>238</v>
      </c>
      <c r="W30" s="468" t="s">
        <v>369</v>
      </c>
      <c r="X30" s="468" t="s">
        <v>369</v>
      </c>
      <c r="Y30" s="468"/>
      <c r="Z30" s="468"/>
      <c r="AA30" s="468" t="s">
        <v>369</v>
      </c>
      <c r="AB30" s="468"/>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c r="CK30" s="199"/>
      <c r="CL30" s="199"/>
      <c r="CM30" s="199"/>
      <c r="CN30" s="199"/>
      <c r="CO30" s="199"/>
      <c r="CP30" s="199"/>
      <c r="CQ30" s="199"/>
      <c r="CR30" s="199"/>
      <c r="CS30" s="199"/>
      <c r="CT30" s="199"/>
    </row>
    <row r="31" spans="1:98" x14ac:dyDescent="0.25">
      <c r="A31" s="193">
        <f>IF(LEN(Projects!A27)&gt;0,Projects!A27,"")</f>
        <v>25</v>
      </c>
      <c r="B31" s="127" t="str">
        <f>IF(ISNA(VLOOKUP(A31,Projects!A:B,2,FALSE)), "",VLOOKUP(A31,Projects!A:B,2,FALSE))</f>
        <v>Project 25</v>
      </c>
      <c r="C31" s="194">
        <f t="shared" si="0"/>
        <v>1</v>
      </c>
      <c r="D31" s="194">
        <f t="shared" si="1"/>
        <v>1</v>
      </c>
      <c r="E31" s="194">
        <f t="shared" si="2"/>
        <v>1</v>
      </c>
      <c r="F31" s="194">
        <f t="shared" si="3"/>
        <v>1</v>
      </c>
      <c r="G31" s="195">
        <f t="shared" si="4"/>
        <v>0</v>
      </c>
      <c r="H31" s="195">
        <f t="shared" si="5"/>
        <v>0</v>
      </c>
      <c r="I31" s="196">
        <f t="shared" si="6"/>
        <v>4</v>
      </c>
      <c r="J31" s="194">
        <v>2</v>
      </c>
      <c r="K31" s="194">
        <v>1</v>
      </c>
      <c r="L31" s="194">
        <v>1</v>
      </c>
      <c r="M31" s="194"/>
      <c r="N31" s="197">
        <v>8</v>
      </c>
      <c r="O31" s="197">
        <v>10</v>
      </c>
      <c r="P31" s="197">
        <v>4</v>
      </c>
      <c r="Q31" s="197"/>
      <c r="R31" s="198"/>
      <c r="S31" s="468">
        <v>0.33333333333333331</v>
      </c>
      <c r="T31" s="468"/>
      <c r="U31" s="468"/>
      <c r="V31" s="468" t="s">
        <v>369</v>
      </c>
      <c r="W31" s="468" t="s">
        <v>238</v>
      </c>
      <c r="X31" s="468"/>
      <c r="Y31" s="468"/>
      <c r="Z31" s="468" t="s">
        <v>369</v>
      </c>
      <c r="AA31" s="468"/>
      <c r="AB31" s="468" t="s">
        <v>369</v>
      </c>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c r="CK31" s="199"/>
      <c r="CL31" s="199"/>
      <c r="CM31" s="199"/>
      <c r="CN31" s="199"/>
      <c r="CO31" s="199"/>
      <c r="CP31" s="199"/>
      <c r="CQ31" s="199"/>
      <c r="CR31" s="199"/>
      <c r="CS31" s="199"/>
      <c r="CT31" s="199"/>
    </row>
    <row r="32" spans="1:98" x14ac:dyDescent="0.25">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c r="CK32" s="199"/>
      <c r="CL32" s="199"/>
      <c r="CM32" s="199"/>
      <c r="CN32" s="199"/>
      <c r="CO32" s="199"/>
      <c r="CP32" s="199"/>
      <c r="CQ32" s="199"/>
      <c r="CR32" s="199"/>
      <c r="CS32" s="199"/>
      <c r="CT32" s="199"/>
    </row>
    <row r="33" spans="19:98" x14ac:dyDescent="0.25">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c r="CK33" s="199"/>
      <c r="CL33" s="199"/>
      <c r="CM33" s="199"/>
      <c r="CN33" s="199"/>
      <c r="CO33" s="199"/>
      <c r="CP33" s="199"/>
      <c r="CQ33" s="199"/>
      <c r="CR33" s="199"/>
      <c r="CS33" s="199"/>
      <c r="CT33" s="199"/>
    </row>
    <row r="34" spans="19:98" x14ac:dyDescent="0.25">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c r="CK34" s="199"/>
      <c r="CL34" s="199"/>
      <c r="CM34" s="199"/>
      <c r="CN34" s="199"/>
      <c r="CO34" s="199"/>
      <c r="CP34" s="199"/>
      <c r="CQ34" s="199"/>
      <c r="CR34" s="199"/>
      <c r="CS34" s="199"/>
      <c r="CT34" s="199"/>
    </row>
    <row r="35" spans="19:98" x14ac:dyDescent="0.25">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c r="CK35" s="199"/>
      <c r="CL35" s="199"/>
      <c r="CM35" s="199"/>
      <c r="CN35" s="199"/>
      <c r="CO35" s="199"/>
      <c r="CP35" s="199"/>
      <c r="CQ35" s="199"/>
      <c r="CR35" s="199"/>
      <c r="CS35" s="199"/>
      <c r="CT35" s="199"/>
    </row>
    <row r="36" spans="19:98" x14ac:dyDescent="0.25">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c r="CK36" s="199"/>
      <c r="CL36" s="199"/>
      <c r="CM36" s="199"/>
      <c r="CN36" s="199"/>
      <c r="CO36" s="199"/>
      <c r="CP36" s="199"/>
      <c r="CQ36" s="199"/>
      <c r="CR36" s="199"/>
      <c r="CS36" s="199"/>
      <c r="CT36" s="199"/>
    </row>
    <row r="37" spans="19:98" x14ac:dyDescent="0.25">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c r="CK37" s="199"/>
      <c r="CL37" s="199"/>
      <c r="CM37" s="199"/>
      <c r="CN37" s="199"/>
      <c r="CO37" s="199"/>
      <c r="CP37" s="199"/>
      <c r="CQ37" s="199"/>
      <c r="CR37" s="199"/>
      <c r="CS37" s="199"/>
      <c r="CT37" s="199"/>
    </row>
    <row r="38" spans="19:98" x14ac:dyDescent="0.25">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c r="CK38" s="199"/>
      <c r="CL38" s="199"/>
      <c r="CM38" s="199"/>
      <c r="CN38" s="199"/>
      <c r="CO38" s="199"/>
      <c r="CP38" s="199"/>
      <c r="CQ38" s="199"/>
      <c r="CR38" s="199"/>
      <c r="CS38" s="199"/>
      <c r="CT38" s="199"/>
    </row>
    <row r="39" spans="19:98" x14ac:dyDescent="0.25">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c r="CK39" s="199"/>
      <c r="CL39" s="199"/>
      <c r="CM39" s="199"/>
      <c r="CN39" s="199"/>
      <c r="CO39" s="199"/>
      <c r="CP39" s="199"/>
      <c r="CQ39" s="199"/>
      <c r="CR39" s="199"/>
      <c r="CS39" s="199"/>
      <c r="CT39" s="199"/>
    </row>
    <row r="40" spans="19:98" x14ac:dyDescent="0.25">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c r="CK40" s="199"/>
      <c r="CL40" s="199"/>
      <c r="CM40" s="199"/>
      <c r="CN40" s="199"/>
      <c r="CO40" s="199"/>
      <c r="CP40" s="199"/>
      <c r="CQ40" s="199"/>
      <c r="CR40" s="199"/>
      <c r="CS40" s="199"/>
      <c r="CT40" s="199"/>
    </row>
    <row r="41" spans="19:98" x14ac:dyDescent="0.25">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c r="CK41" s="199"/>
      <c r="CL41" s="199"/>
      <c r="CM41" s="199"/>
      <c r="CN41" s="199"/>
      <c r="CO41" s="199"/>
      <c r="CP41" s="199"/>
      <c r="CQ41" s="199"/>
      <c r="CR41" s="199"/>
      <c r="CS41" s="199"/>
      <c r="CT41" s="199"/>
    </row>
    <row r="42" spans="19:98" x14ac:dyDescent="0.25">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c r="BK42" s="199"/>
      <c r="BL42" s="199"/>
      <c r="BM42" s="199"/>
      <c r="BN42" s="199"/>
      <c r="BO42" s="199"/>
      <c r="BP42" s="199"/>
      <c r="BQ42" s="199"/>
      <c r="BR42" s="199"/>
      <c r="BS42" s="199"/>
      <c r="BT42" s="199"/>
      <c r="BU42" s="199"/>
      <c r="BV42" s="199"/>
      <c r="BW42" s="199"/>
      <c r="BX42" s="199"/>
      <c r="BY42" s="199"/>
      <c r="BZ42" s="199"/>
      <c r="CA42" s="199"/>
      <c r="CB42" s="199"/>
      <c r="CC42" s="199"/>
      <c r="CD42" s="199"/>
      <c r="CE42" s="199"/>
      <c r="CF42" s="199"/>
      <c r="CG42" s="199"/>
      <c r="CH42" s="199"/>
      <c r="CI42" s="199"/>
      <c r="CJ42" s="199"/>
      <c r="CK42" s="199"/>
      <c r="CL42" s="199"/>
      <c r="CM42" s="199"/>
      <c r="CN42" s="199"/>
      <c r="CO42" s="199"/>
      <c r="CP42" s="199"/>
      <c r="CQ42" s="199"/>
      <c r="CR42" s="199"/>
      <c r="CS42" s="199"/>
      <c r="CT42" s="199"/>
    </row>
    <row r="43" spans="19:98" x14ac:dyDescent="0.25">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199"/>
      <c r="BV43" s="199"/>
      <c r="BW43" s="199"/>
      <c r="BX43" s="199"/>
      <c r="BY43" s="199"/>
      <c r="BZ43" s="199"/>
      <c r="CA43" s="199"/>
      <c r="CB43" s="199"/>
      <c r="CC43" s="199"/>
      <c r="CD43" s="199"/>
      <c r="CE43" s="199"/>
      <c r="CF43" s="199"/>
      <c r="CG43" s="199"/>
      <c r="CH43" s="199"/>
      <c r="CI43" s="199"/>
      <c r="CJ43" s="199"/>
      <c r="CK43" s="199"/>
      <c r="CL43" s="199"/>
      <c r="CM43" s="199"/>
      <c r="CN43" s="199"/>
      <c r="CO43" s="199"/>
      <c r="CP43" s="199"/>
      <c r="CQ43" s="199"/>
      <c r="CR43" s="199"/>
      <c r="CS43" s="199"/>
      <c r="CT43" s="199"/>
    </row>
    <row r="44" spans="19:98" x14ac:dyDescent="0.25">
      <c r="S44" s="199"/>
      <c r="T44" s="199"/>
      <c r="U44" s="199"/>
      <c r="V44" s="199"/>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99"/>
      <c r="CC44" s="199"/>
      <c r="CD44" s="199"/>
      <c r="CE44" s="199"/>
      <c r="CF44" s="199"/>
      <c r="CG44" s="199"/>
      <c r="CH44" s="199"/>
      <c r="CI44" s="199"/>
      <c r="CJ44" s="199"/>
      <c r="CK44" s="199"/>
      <c r="CL44" s="199"/>
      <c r="CM44" s="199"/>
      <c r="CN44" s="199"/>
      <c r="CO44" s="199"/>
      <c r="CP44" s="199"/>
      <c r="CQ44" s="199"/>
      <c r="CR44" s="199"/>
      <c r="CS44" s="199"/>
      <c r="CT44" s="199"/>
    </row>
    <row r="45" spans="19:98" x14ac:dyDescent="0.25">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c r="CK45" s="199"/>
      <c r="CL45" s="199"/>
      <c r="CM45" s="199"/>
      <c r="CN45" s="199"/>
      <c r="CO45" s="199"/>
      <c r="CP45" s="199"/>
      <c r="CQ45" s="199"/>
      <c r="CR45" s="199"/>
      <c r="CS45" s="199"/>
      <c r="CT45" s="199"/>
    </row>
    <row r="46" spans="19:98" x14ac:dyDescent="0.25">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c r="CK46" s="199"/>
      <c r="CL46" s="199"/>
      <c r="CM46" s="199"/>
      <c r="CN46" s="199"/>
      <c r="CO46" s="199"/>
      <c r="CP46" s="199"/>
      <c r="CQ46" s="199"/>
      <c r="CR46" s="199"/>
      <c r="CS46" s="199"/>
      <c r="CT46" s="199"/>
    </row>
    <row r="47" spans="19:98" x14ac:dyDescent="0.25">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c r="CK47" s="199"/>
      <c r="CL47" s="199"/>
      <c r="CM47" s="199"/>
      <c r="CN47" s="199"/>
      <c r="CO47" s="199"/>
      <c r="CP47" s="199"/>
      <c r="CQ47" s="199"/>
      <c r="CR47" s="199"/>
      <c r="CS47" s="199"/>
      <c r="CT47" s="199"/>
    </row>
    <row r="48" spans="19:98" x14ac:dyDescent="0.25">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c r="CK48" s="199"/>
      <c r="CL48" s="199"/>
      <c r="CM48" s="199"/>
      <c r="CN48" s="199"/>
      <c r="CO48" s="199"/>
      <c r="CP48" s="199"/>
      <c r="CQ48" s="199"/>
      <c r="CR48" s="199"/>
      <c r="CS48" s="199"/>
      <c r="CT48" s="199"/>
    </row>
    <row r="49" spans="19:98" x14ac:dyDescent="0.25">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c r="CK49" s="199"/>
      <c r="CL49" s="199"/>
      <c r="CM49" s="199"/>
      <c r="CN49" s="199"/>
      <c r="CO49" s="199"/>
      <c r="CP49" s="199"/>
      <c r="CQ49" s="199"/>
      <c r="CR49" s="199"/>
      <c r="CS49" s="199"/>
      <c r="CT49" s="199"/>
    </row>
    <row r="50" spans="19:98" x14ac:dyDescent="0.25">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c r="CK50" s="199"/>
      <c r="CL50" s="199"/>
      <c r="CM50" s="199"/>
      <c r="CN50" s="199"/>
      <c r="CO50" s="199"/>
      <c r="CP50" s="199"/>
      <c r="CQ50" s="199"/>
      <c r="CR50" s="199"/>
      <c r="CS50" s="199"/>
      <c r="CT50" s="199"/>
    </row>
    <row r="51" spans="19:98" x14ac:dyDescent="0.25">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c r="CK51" s="199"/>
      <c r="CL51" s="199"/>
      <c r="CM51" s="199"/>
      <c r="CN51" s="199"/>
      <c r="CO51" s="199"/>
      <c r="CP51" s="199"/>
      <c r="CQ51" s="199"/>
      <c r="CR51" s="199"/>
      <c r="CS51" s="199"/>
      <c r="CT51" s="199"/>
    </row>
    <row r="52" spans="19:98" x14ac:dyDescent="0.25">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c r="CK52" s="199"/>
      <c r="CL52" s="199"/>
      <c r="CM52" s="199"/>
      <c r="CN52" s="199"/>
      <c r="CO52" s="199"/>
      <c r="CP52" s="199"/>
      <c r="CQ52" s="199"/>
      <c r="CR52" s="199"/>
      <c r="CS52" s="199"/>
      <c r="CT52" s="199"/>
    </row>
    <row r="53" spans="19:98" x14ac:dyDescent="0.25">
      <c r="S53" s="199"/>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c r="CK53" s="199"/>
      <c r="CL53" s="199"/>
      <c r="CM53" s="199"/>
      <c r="CN53" s="199"/>
      <c r="CO53" s="199"/>
      <c r="CP53" s="199"/>
      <c r="CQ53" s="199"/>
      <c r="CR53" s="199"/>
      <c r="CS53" s="199"/>
      <c r="CT53" s="199"/>
    </row>
    <row r="54" spans="19:98" x14ac:dyDescent="0.25">
      <c r="S54" s="199"/>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c r="CK54" s="199"/>
      <c r="CL54" s="199"/>
      <c r="CM54" s="199"/>
      <c r="CN54" s="199"/>
      <c r="CO54" s="199"/>
      <c r="CP54" s="199"/>
      <c r="CQ54" s="199"/>
      <c r="CR54" s="199"/>
      <c r="CS54" s="199"/>
      <c r="CT54" s="199"/>
    </row>
    <row r="55" spans="19:98" x14ac:dyDescent="0.25">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c r="CK55" s="199"/>
      <c r="CL55" s="199"/>
      <c r="CM55" s="199"/>
      <c r="CN55" s="199"/>
      <c r="CO55" s="199"/>
      <c r="CP55" s="199"/>
      <c r="CQ55" s="199"/>
      <c r="CR55" s="199"/>
      <c r="CS55" s="199"/>
      <c r="CT55" s="199"/>
    </row>
    <row r="56" spans="19:98" x14ac:dyDescent="0.25">
      <c r="S56" s="199"/>
      <c r="T56" s="199"/>
      <c r="U56" s="199"/>
      <c r="V56" s="199"/>
      <c r="W56" s="199"/>
      <c r="X56" s="199"/>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c r="AW56" s="199"/>
      <c r="AX56" s="199"/>
      <c r="AY56" s="199"/>
      <c r="AZ56" s="199"/>
      <c r="BA56" s="199"/>
      <c r="BB56" s="199"/>
      <c r="BC56" s="199"/>
      <c r="BD56" s="199"/>
      <c r="BE56" s="199"/>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199"/>
      <c r="CC56" s="199"/>
      <c r="CD56" s="199"/>
      <c r="CE56" s="199"/>
      <c r="CF56" s="199"/>
      <c r="CG56" s="199"/>
      <c r="CH56" s="199"/>
      <c r="CI56" s="199"/>
      <c r="CJ56" s="199"/>
      <c r="CK56" s="199"/>
      <c r="CL56" s="199"/>
      <c r="CM56" s="199"/>
      <c r="CN56" s="199"/>
      <c r="CO56" s="199"/>
      <c r="CP56" s="199"/>
      <c r="CQ56" s="199"/>
      <c r="CR56" s="199"/>
      <c r="CS56" s="199"/>
      <c r="CT56" s="199"/>
    </row>
    <row r="57" spans="19:98" x14ac:dyDescent="0.25">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c r="AW57" s="199"/>
      <c r="AX57" s="199"/>
      <c r="AY57" s="199"/>
      <c r="AZ57" s="199"/>
      <c r="BA57" s="199"/>
      <c r="BB57" s="199"/>
      <c r="BC57" s="199"/>
      <c r="BD57" s="199"/>
      <c r="BE57" s="199"/>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199"/>
      <c r="CC57" s="199"/>
      <c r="CD57" s="199"/>
      <c r="CE57" s="199"/>
      <c r="CF57" s="199"/>
      <c r="CG57" s="199"/>
      <c r="CH57" s="199"/>
      <c r="CI57" s="199"/>
      <c r="CJ57" s="199"/>
      <c r="CK57" s="199"/>
      <c r="CL57" s="199"/>
      <c r="CM57" s="199"/>
      <c r="CN57" s="199"/>
      <c r="CO57" s="199"/>
      <c r="CP57" s="199"/>
      <c r="CQ57" s="199"/>
      <c r="CR57" s="199"/>
      <c r="CS57" s="199"/>
      <c r="CT57" s="199"/>
    </row>
    <row r="58" spans="19:98" x14ac:dyDescent="0.25">
      <c r="S58" s="199"/>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c r="AW58" s="199"/>
      <c r="AX58" s="199"/>
      <c r="AY58" s="199"/>
      <c r="AZ58" s="199"/>
      <c r="BA58" s="199"/>
      <c r="BB58" s="199"/>
      <c r="BC58" s="199"/>
      <c r="BD58" s="199"/>
      <c r="BE58" s="199"/>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199"/>
      <c r="CC58" s="199"/>
      <c r="CD58" s="199"/>
      <c r="CE58" s="199"/>
      <c r="CF58" s="199"/>
      <c r="CG58" s="199"/>
      <c r="CH58" s="199"/>
      <c r="CI58" s="199"/>
      <c r="CJ58" s="199"/>
      <c r="CK58" s="199"/>
      <c r="CL58" s="199"/>
      <c r="CM58" s="199"/>
      <c r="CN58" s="199"/>
      <c r="CO58" s="199"/>
      <c r="CP58" s="199"/>
      <c r="CQ58" s="199"/>
      <c r="CR58" s="199"/>
      <c r="CS58" s="199"/>
      <c r="CT58" s="199"/>
    </row>
    <row r="59" spans="19:98" x14ac:dyDescent="0.25">
      <c r="S59" s="199"/>
      <c r="T59" s="199"/>
      <c r="U59" s="199"/>
      <c r="V59" s="199"/>
      <c r="W59" s="199"/>
      <c r="X59" s="199"/>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199"/>
      <c r="CC59" s="199"/>
      <c r="CD59" s="199"/>
      <c r="CE59" s="199"/>
      <c r="CF59" s="199"/>
      <c r="CG59" s="199"/>
      <c r="CH59" s="199"/>
      <c r="CI59" s="199"/>
      <c r="CJ59" s="199"/>
      <c r="CK59" s="199"/>
      <c r="CL59" s="199"/>
      <c r="CM59" s="199"/>
      <c r="CN59" s="199"/>
      <c r="CO59" s="199"/>
      <c r="CP59" s="199"/>
      <c r="CQ59" s="199"/>
      <c r="CR59" s="199"/>
      <c r="CS59" s="199"/>
      <c r="CT59" s="199"/>
    </row>
    <row r="60" spans="19:98" x14ac:dyDescent="0.25">
      <c r="S60" s="199"/>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c r="CK60" s="199"/>
      <c r="CL60" s="199"/>
      <c r="CM60" s="199"/>
      <c r="CN60" s="199"/>
      <c r="CO60" s="199"/>
      <c r="CP60" s="199"/>
      <c r="CQ60" s="199"/>
      <c r="CR60" s="199"/>
      <c r="CS60" s="199"/>
      <c r="CT60" s="199"/>
    </row>
    <row r="61" spans="19:98" x14ac:dyDescent="0.25">
      <c r="S61" s="199"/>
      <c r="T61" s="199"/>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199"/>
      <c r="BE61" s="199"/>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199"/>
      <c r="CC61" s="199"/>
      <c r="CD61" s="199"/>
      <c r="CE61" s="199"/>
      <c r="CF61" s="199"/>
      <c r="CG61" s="199"/>
      <c r="CH61" s="199"/>
      <c r="CI61" s="199"/>
      <c r="CJ61" s="199"/>
      <c r="CK61" s="199"/>
      <c r="CL61" s="199"/>
      <c r="CM61" s="199"/>
      <c r="CN61" s="199"/>
      <c r="CO61" s="199"/>
      <c r="CP61" s="199"/>
      <c r="CQ61" s="199"/>
      <c r="CR61" s="199"/>
      <c r="CS61" s="199"/>
      <c r="CT61" s="199"/>
    </row>
    <row r="62" spans="19:98" x14ac:dyDescent="0.25">
      <c r="S62" s="199"/>
      <c r="T62" s="199"/>
      <c r="U62" s="199"/>
      <c r="V62" s="199"/>
      <c r="W62" s="199"/>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c r="AW62" s="199"/>
      <c r="AX62" s="199"/>
      <c r="AY62" s="199"/>
      <c r="AZ62" s="199"/>
      <c r="BA62" s="199"/>
      <c r="BB62" s="199"/>
      <c r="BC62" s="199"/>
      <c r="BD62" s="199"/>
      <c r="BE62" s="199"/>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199"/>
      <c r="CC62" s="199"/>
      <c r="CD62" s="199"/>
      <c r="CE62" s="199"/>
      <c r="CF62" s="199"/>
      <c r="CG62" s="199"/>
      <c r="CH62" s="199"/>
      <c r="CI62" s="199"/>
      <c r="CJ62" s="199"/>
      <c r="CK62" s="199"/>
      <c r="CL62" s="199"/>
      <c r="CM62" s="199"/>
      <c r="CN62" s="199"/>
      <c r="CO62" s="199"/>
      <c r="CP62" s="199"/>
      <c r="CQ62" s="199"/>
      <c r="CR62" s="199"/>
      <c r="CS62" s="199"/>
      <c r="CT62" s="199"/>
    </row>
    <row r="63" spans="19:98" x14ac:dyDescent="0.25">
      <c r="S63" s="199"/>
      <c r="T63" s="199"/>
      <c r="U63" s="199"/>
      <c r="V63" s="199"/>
      <c r="W63" s="199"/>
      <c r="X63" s="199"/>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c r="CK63" s="199"/>
      <c r="CL63" s="199"/>
      <c r="CM63" s="199"/>
      <c r="CN63" s="199"/>
      <c r="CO63" s="199"/>
      <c r="CP63" s="199"/>
      <c r="CQ63" s="199"/>
      <c r="CR63" s="199"/>
      <c r="CS63" s="199"/>
      <c r="CT63" s="199"/>
    </row>
    <row r="64" spans="19:98" x14ac:dyDescent="0.25">
      <c r="S64" s="199"/>
      <c r="T64" s="199"/>
      <c r="U64" s="199"/>
      <c r="V64" s="199"/>
      <c r="W64" s="199"/>
      <c r="X64" s="199"/>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199"/>
      <c r="BV64" s="199"/>
      <c r="BW64" s="199"/>
      <c r="BX64" s="199"/>
      <c r="BY64" s="199"/>
      <c r="BZ64" s="199"/>
      <c r="CA64" s="199"/>
      <c r="CB64" s="199"/>
      <c r="CC64" s="199"/>
      <c r="CD64" s="199"/>
      <c r="CE64" s="199"/>
      <c r="CF64" s="199"/>
      <c r="CG64" s="199"/>
      <c r="CH64" s="199"/>
      <c r="CI64" s="199"/>
      <c r="CJ64" s="199"/>
      <c r="CK64" s="199"/>
      <c r="CL64" s="199"/>
      <c r="CM64" s="199"/>
      <c r="CN64" s="199"/>
      <c r="CO64" s="199"/>
      <c r="CP64" s="199"/>
      <c r="CQ64" s="199"/>
      <c r="CR64" s="199"/>
      <c r="CS64" s="199"/>
      <c r="CT64" s="199"/>
    </row>
    <row r="65" spans="19:98" x14ac:dyDescent="0.25">
      <c r="S65" s="199"/>
      <c r="T65" s="199"/>
      <c r="U65" s="199"/>
      <c r="V65" s="199"/>
      <c r="W65" s="199"/>
      <c r="X65" s="199"/>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c r="AW65" s="199"/>
      <c r="AX65" s="199"/>
      <c r="AY65" s="199"/>
      <c r="AZ65" s="199"/>
      <c r="BA65" s="199"/>
      <c r="BB65" s="199"/>
      <c r="BC65" s="199"/>
      <c r="BD65" s="199"/>
      <c r="BE65" s="199"/>
      <c r="BF65" s="199"/>
      <c r="BG65" s="199"/>
      <c r="BH65" s="199"/>
      <c r="BI65" s="199"/>
      <c r="BJ65" s="199"/>
      <c r="BK65" s="199"/>
      <c r="BL65" s="199"/>
      <c r="BM65" s="199"/>
      <c r="BN65" s="199"/>
      <c r="BO65" s="199"/>
      <c r="BP65" s="199"/>
      <c r="BQ65" s="199"/>
      <c r="BR65" s="199"/>
      <c r="BS65" s="199"/>
      <c r="BT65" s="199"/>
      <c r="BU65" s="199"/>
      <c r="BV65" s="199"/>
      <c r="BW65" s="199"/>
      <c r="BX65" s="199"/>
      <c r="BY65" s="199"/>
      <c r="BZ65" s="199"/>
      <c r="CA65" s="199"/>
      <c r="CB65" s="199"/>
      <c r="CC65" s="199"/>
      <c r="CD65" s="199"/>
      <c r="CE65" s="199"/>
      <c r="CF65" s="199"/>
      <c r="CG65" s="199"/>
      <c r="CH65" s="199"/>
      <c r="CI65" s="199"/>
      <c r="CJ65" s="199"/>
      <c r="CK65" s="199"/>
      <c r="CL65" s="199"/>
      <c r="CM65" s="199"/>
      <c r="CN65" s="199"/>
      <c r="CO65" s="199"/>
      <c r="CP65" s="199"/>
      <c r="CQ65" s="199"/>
      <c r="CR65" s="199"/>
      <c r="CS65" s="199"/>
      <c r="CT65" s="199"/>
    </row>
    <row r="66" spans="19:98" x14ac:dyDescent="0.25">
      <c r="S66" s="199"/>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c r="CK66" s="199"/>
      <c r="CL66" s="199"/>
      <c r="CM66" s="199"/>
      <c r="CN66" s="199"/>
      <c r="CO66" s="199"/>
      <c r="CP66" s="199"/>
      <c r="CQ66" s="199"/>
      <c r="CR66" s="199"/>
      <c r="CS66" s="199"/>
      <c r="CT66" s="199"/>
    </row>
    <row r="67" spans="19:98" x14ac:dyDescent="0.25">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c r="AW67" s="199"/>
      <c r="AX67" s="199"/>
      <c r="AY67" s="199"/>
      <c r="AZ67" s="199"/>
      <c r="BA67" s="199"/>
      <c r="BB67" s="199"/>
      <c r="BC67" s="199"/>
      <c r="BD67" s="199"/>
      <c r="BE67" s="199"/>
      <c r="BF67" s="199"/>
      <c r="BG67" s="199"/>
      <c r="BH67" s="199"/>
      <c r="BI67" s="199"/>
      <c r="BJ67" s="199"/>
      <c r="BK67" s="199"/>
      <c r="BL67" s="199"/>
      <c r="BM67" s="199"/>
      <c r="BN67" s="199"/>
      <c r="BO67" s="199"/>
      <c r="BP67" s="199"/>
      <c r="BQ67" s="199"/>
      <c r="BR67" s="199"/>
      <c r="BS67" s="199"/>
      <c r="BT67" s="199"/>
      <c r="BU67" s="199"/>
      <c r="BV67" s="199"/>
      <c r="BW67" s="199"/>
      <c r="BX67" s="199"/>
      <c r="BY67" s="199"/>
      <c r="BZ67" s="199"/>
      <c r="CA67" s="199"/>
      <c r="CB67" s="199"/>
      <c r="CC67" s="199"/>
      <c r="CD67" s="199"/>
      <c r="CE67" s="199"/>
      <c r="CF67" s="199"/>
      <c r="CG67" s="199"/>
      <c r="CH67" s="199"/>
      <c r="CI67" s="199"/>
      <c r="CJ67" s="199"/>
      <c r="CK67" s="199"/>
      <c r="CL67" s="199"/>
      <c r="CM67" s="199"/>
      <c r="CN67" s="199"/>
      <c r="CO67" s="199"/>
      <c r="CP67" s="199"/>
      <c r="CQ67" s="199"/>
      <c r="CR67" s="199"/>
      <c r="CS67" s="199"/>
      <c r="CT67" s="199"/>
    </row>
    <row r="68" spans="19:98" x14ac:dyDescent="0.25">
      <c r="S68" s="199"/>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c r="CK68" s="199"/>
      <c r="CL68" s="199"/>
      <c r="CM68" s="199"/>
      <c r="CN68" s="199"/>
      <c r="CO68" s="199"/>
      <c r="CP68" s="199"/>
      <c r="CQ68" s="199"/>
      <c r="CR68" s="199"/>
      <c r="CS68" s="199"/>
      <c r="CT68" s="199"/>
    </row>
    <row r="69" spans="19:98" x14ac:dyDescent="0.25">
      <c r="S69" s="199"/>
      <c r="T69" s="199"/>
      <c r="U69" s="199"/>
      <c r="V69" s="199"/>
      <c r="W69" s="199"/>
      <c r="X69" s="199"/>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c r="AW69" s="199"/>
      <c r="AX69" s="199"/>
      <c r="AY69" s="199"/>
      <c r="AZ69" s="199"/>
      <c r="BA69" s="199"/>
      <c r="BB69" s="199"/>
      <c r="BC69" s="199"/>
      <c r="BD69" s="199"/>
      <c r="BE69" s="199"/>
      <c r="BF69" s="199"/>
      <c r="BG69" s="199"/>
      <c r="BH69" s="199"/>
      <c r="BI69" s="199"/>
      <c r="BJ69" s="199"/>
      <c r="BK69" s="199"/>
      <c r="BL69" s="199"/>
      <c r="BM69" s="199"/>
      <c r="BN69" s="199"/>
      <c r="BO69" s="199"/>
      <c r="BP69" s="199"/>
      <c r="BQ69" s="199"/>
      <c r="BR69" s="199"/>
      <c r="BS69" s="199"/>
      <c r="BT69" s="199"/>
      <c r="BU69" s="199"/>
      <c r="BV69" s="199"/>
      <c r="BW69" s="199"/>
      <c r="BX69" s="199"/>
      <c r="BY69" s="199"/>
      <c r="BZ69" s="199"/>
      <c r="CA69" s="199"/>
      <c r="CB69" s="199"/>
      <c r="CC69" s="199"/>
      <c r="CD69" s="199"/>
      <c r="CE69" s="199"/>
      <c r="CF69" s="199"/>
      <c r="CG69" s="199"/>
      <c r="CH69" s="199"/>
      <c r="CI69" s="199"/>
      <c r="CJ69" s="199"/>
      <c r="CK69" s="199"/>
      <c r="CL69" s="199"/>
      <c r="CM69" s="199"/>
      <c r="CN69" s="199"/>
      <c r="CO69" s="199"/>
      <c r="CP69" s="199"/>
      <c r="CQ69" s="199"/>
      <c r="CR69" s="199"/>
      <c r="CS69" s="199"/>
      <c r="CT69" s="199"/>
    </row>
    <row r="70" spans="19:98" x14ac:dyDescent="0.25">
      <c r="S70" s="199"/>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c r="AW70" s="199"/>
      <c r="AX70" s="199"/>
      <c r="AY70" s="199"/>
      <c r="AZ70" s="199"/>
      <c r="BA70" s="199"/>
      <c r="BB70" s="199"/>
      <c r="BC70" s="199"/>
      <c r="BD70" s="199"/>
      <c r="BE70" s="199"/>
      <c r="BF70" s="199"/>
      <c r="BG70" s="199"/>
      <c r="BH70" s="199"/>
      <c r="BI70" s="199"/>
      <c r="BJ70" s="199"/>
      <c r="BK70" s="199"/>
      <c r="BL70" s="199"/>
      <c r="BM70" s="199"/>
      <c r="BN70" s="199"/>
      <c r="BO70" s="199"/>
      <c r="BP70" s="199"/>
      <c r="BQ70" s="199"/>
      <c r="BR70" s="199"/>
      <c r="BS70" s="199"/>
      <c r="BT70" s="199"/>
      <c r="BU70" s="199"/>
      <c r="BV70" s="199"/>
      <c r="BW70" s="199"/>
      <c r="BX70" s="199"/>
      <c r="BY70" s="199"/>
      <c r="BZ70" s="199"/>
      <c r="CA70" s="199"/>
      <c r="CB70" s="199"/>
      <c r="CC70" s="199"/>
      <c r="CD70" s="199"/>
      <c r="CE70" s="199"/>
      <c r="CF70" s="199"/>
      <c r="CG70" s="199"/>
      <c r="CH70" s="199"/>
      <c r="CI70" s="199"/>
      <c r="CJ70" s="199"/>
      <c r="CK70" s="199"/>
      <c r="CL70" s="199"/>
      <c r="CM70" s="199"/>
      <c r="CN70" s="199"/>
      <c r="CO70" s="199"/>
      <c r="CP70" s="199"/>
      <c r="CQ70" s="199"/>
      <c r="CR70" s="199"/>
      <c r="CS70" s="199"/>
      <c r="CT70" s="199"/>
    </row>
    <row r="71" spans="19:98" x14ac:dyDescent="0.25">
      <c r="S71" s="199"/>
      <c r="T71" s="199"/>
      <c r="U71" s="199"/>
      <c r="V71" s="199"/>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c r="AW71" s="199"/>
      <c r="AX71" s="199"/>
      <c r="AY71" s="199"/>
      <c r="AZ71" s="199"/>
      <c r="BA71" s="199"/>
      <c r="BB71" s="199"/>
      <c r="BC71" s="199"/>
      <c r="BD71" s="199"/>
      <c r="BE71" s="199"/>
      <c r="BF71" s="199"/>
      <c r="BG71" s="199"/>
      <c r="BH71" s="199"/>
      <c r="BI71" s="199"/>
      <c r="BJ71" s="199"/>
      <c r="BK71" s="199"/>
      <c r="BL71" s="199"/>
      <c r="BM71" s="199"/>
      <c r="BN71" s="199"/>
      <c r="BO71" s="199"/>
      <c r="BP71" s="199"/>
      <c r="BQ71" s="199"/>
      <c r="BR71" s="199"/>
      <c r="BS71" s="199"/>
      <c r="BT71" s="199"/>
      <c r="BU71" s="199"/>
      <c r="BV71" s="199"/>
      <c r="BW71" s="199"/>
      <c r="BX71" s="199"/>
      <c r="BY71" s="199"/>
      <c r="BZ71" s="199"/>
      <c r="CA71" s="199"/>
      <c r="CB71" s="199"/>
      <c r="CC71" s="199"/>
      <c r="CD71" s="199"/>
      <c r="CE71" s="199"/>
      <c r="CF71" s="199"/>
      <c r="CG71" s="199"/>
      <c r="CH71" s="199"/>
      <c r="CI71" s="199"/>
      <c r="CJ71" s="199"/>
      <c r="CK71" s="199"/>
      <c r="CL71" s="199"/>
      <c r="CM71" s="199"/>
      <c r="CN71" s="199"/>
      <c r="CO71" s="199"/>
      <c r="CP71" s="199"/>
      <c r="CQ71" s="199"/>
      <c r="CR71" s="199"/>
      <c r="CS71" s="199"/>
      <c r="CT71" s="199"/>
    </row>
    <row r="72" spans="19:98" x14ac:dyDescent="0.25">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99"/>
      <c r="BQ72" s="199"/>
      <c r="BR72" s="199"/>
      <c r="BS72" s="199"/>
      <c r="BT72" s="199"/>
      <c r="BU72" s="199"/>
      <c r="BV72" s="199"/>
      <c r="BW72" s="199"/>
      <c r="BX72" s="199"/>
      <c r="BY72" s="199"/>
      <c r="BZ72" s="199"/>
      <c r="CA72" s="199"/>
      <c r="CB72" s="199"/>
      <c r="CC72" s="199"/>
      <c r="CD72" s="199"/>
      <c r="CE72" s="199"/>
      <c r="CF72" s="199"/>
      <c r="CG72" s="199"/>
      <c r="CH72" s="199"/>
      <c r="CI72" s="199"/>
      <c r="CJ72" s="199"/>
      <c r="CK72" s="199"/>
      <c r="CL72" s="199"/>
      <c r="CM72" s="199"/>
      <c r="CN72" s="199"/>
      <c r="CO72" s="199"/>
      <c r="CP72" s="199"/>
      <c r="CQ72" s="199"/>
      <c r="CR72" s="199"/>
      <c r="CS72" s="199"/>
      <c r="CT72" s="199"/>
    </row>
    <row r="73" spans="19:98" x14ac:dyDescent="0.25">
      <c r="S73" s="199"/>
      <c r="T73" s="199"/>
      <c r="U73" s="199"/>
      <c r="V73" s="199"/>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c r="AW73" s="199"/>
      <c r="AX73" s="199"/>
      <c r="AY73" s="199"/>
      <c r="AZ73" s="199"/>
      <c r="BA73" s="199"/>
      <c r="BB73" s="199"/>
      <c r="BC73" s="199"/>
      <c r="BD73" s="199"/>
      <c r="BE73" s="199"/>
      <c r="BF73" s="199"/>
      <c r="BG73" s="199"/>
      <c r="BH73" s="199"/>
      <c r="BI73" s="199"/>
      <c r="BJ73" s="199"/>
      <c r="BK73" s="199"/>
      <c r="BL73" s="199"/>
      <c r="BM73" s="199"/>
      <c r="BN73" s="199"/>
      <c r="BO73" s="199"/>
      <c r="BP73" s="199"/>
      <c r="BQ73" s="199"/>
      <c r="BR73" s="199"/>
      <c r="BS73" s="199"/>
      <c r="BT73" s="199"/>
      <c r="BU73" s="199"/>
      <c r="BV73" s="199"/>
      <c r="BW73" s="199"/>
      <c r="BX73" s="199"/>
      <c r="BY73" s="199"/>
      <c r="BZ73" s="199"/>
      <c r="CA73" s="199"/>
      <c r="CB73" s="199"/>
      <c r="CC73" s="199"/>
      <c r="CD73" s="199"/>
      <c r="CE73" s="199"/>
      <c r="CF73" s="199"/>
      <c r="CG73" s="199"/>
      <c r="CH73" s="199"/>
      <c r="CI73" s="199"/>
      <c r="CJ73" s="199"/>
      <c r="CK73" s="199"/>
      <c r="CL73" s="199"/>
      <c r="CM73" s="199"/>
      <c r="CN73" s="199"/>
      <c r="CO73" s="199"/>
      <c r="CP73" s="199"/>
      <c r="CQ73" s="199"/>
      <c r="CR73" s="199"/>
      <c r="CS73" s="199"/>
      <c r="CT73" s="199"/>
    </row>
    <row r="74" spans="19:98" x14ac:dyDescent="0.25">
      <c r="S74" s="199"/>
      <c r="T74" s="199"/>
      <c r="U74" s="199"/>
      <c r="V74" s="199"/>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c r="AW74" s="199"/>
      <c r="AX74" s="199"/>
      <c r="AY74" s="199"/>
      <c r="AZ74" s="199"/>
      <c r="BA74" s="199"/>
      <c r="BB74" s="199"/>
      <c r="BC74" s="199"/>
      <c r="BD74" s="199"/>
      <c r="BE74" s="199"/>
      <c r="BF74" s="199"/>
      <c r="BG74" s="199"/>
      <c r="BH74" s="199"/>
      <c r="BI74" s="199"/>
      <c r="BJ74" s="199"/>
      <c r="BK74" s="199"/>
      <c r="BL74" s="199"/>
      <c r="BM74" s="199"/>
      <c r="BN74" s="199"/>
      <c r="BO74" s="199"/>
      <c r="BP74" s="199"/>
      <c r="BQ74" s="199"/>
      <c r="BR74" s="199"/>
      <c r="BS74" s="199"/>
      <c r="BT74" s="199"/>
      <c r="BU74" s="199"/>
      <c r="BV74" s="199"/>
      <c r="BW74" s="199"/>
      <c r="BX74" s="199"/>
      <c r="BY74" s="199"/>
      <c r="BZ74" s="199"/>
      <c r="CA74" s="199"/>
      <c r="CB74" s="199"/>
      <c r="CC74" s="199"/>
      <c r="CD74" s="199"/>
      <c r="CE74" s="199"/>
      <c r="CF74" s="199"/>
      <c r="CG74" s="199"/>
      <c r="CH74" s="199"/>
      <c r="CI74" s="199"/>
      <c r="CJ74" s="199"/>
      <c r="CK74" s="199"/>
      <c r="CL74" s="199"/>
      <c r="CM74" s="199"/>
      <c r="CN74" s="199"/>
      <c r="CO74" s="199"/>
      <c r="CP74" s="199"/>
      <c r="CQ74" s="199"/>
      <c r="CR74" s="199"/>
      <c r="CS74" s="199"/>
      <c r="CT74" s="199"/>
    </row>
    <row r="75" spans="19:98" x14ac:dyDescent="0.25">
      <c r="S75" s="199"/>
      <c r="T75" s="199"/>
      <c r="U75" s="199"/>
      <c r="V75" s="199"/>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99"/>
      <c r="AV75" s="199"/>
      <c r="AW75" s="199"/>
      <c r="AX75" s="199"/>
      <c r="AY75" s="199"/>
      <c r="AZ75" s="199"/>
      <c r="BA75" s="199"/>
      <c r="BB75" s="199"/>
      <c r="BC75" s="199"/>
      <c r="BD75" s="199"/>
      <c r="BE75" s="199"/>
      <c r="BF75" s="199"/>
      <c r="BG75" s="199"/>
      <c r="BH75" s="199"/>
      <c r="BI75" s="199"/>
      <c r="BJ75" s="199"/>
      <c r="BK75" s="199"/>
      <c r="BL75" s="199"/>
      <c r="BM75" s="199"/>
      <c r="BN75" s="199"/>
      <c r="BO75" s="199"/>
      <c r="BP75" s="199"/>
      <c r="BQ75" s="199"/>
      <c r="BR75" s="199"/>
      <c r="BS75" s="199"/>
      <c r="BT75" s="199"/>
      <c r="BU75" s="199"/>
      <c r="BV75" s="199"/>
      <c r="BW75" s="199"/>
      <c r="BX75" s="199"/>
      <c r="BY75" s="199"/>
      <c r="BZ75" s="199"/>
      <c r="CA75" s="199"/>
      <c r="CB75" s="199"/>
      <c r="CC75" s="199"/>
      <c r="CD75" s="199"/>
      <c r="CE75" s="199"/>
      <c r="CF75" s="199"/>
      <c r="CG75" s="199"/>
      <c r="CH75" s="199"/>
      <c r="CI75" s="199"/>
      <c r="CJ75" s="199"/>
      <c r="CK75" s="199"/>
      <c r="CL75" s="199"/>
      <c r="CM75" s="199"/>
      <c r="CN75" s="199"/>
      <c r="CO75" s="199"/>
      <c r="CP75" s="199"/>
      <c r="CQ75" s="199"/>
      <c r="CR75" s="199"/>
      <c r="CS75" s="199"/>
      <c r="CT75" s="199"/>
    </row>
    <row r="76" spans="19:98" x14ac:dyDescent="0.25">
      <c r="S76" s="199"/>
      <c r="T76" s="199"/>
      <c r="U76" s="199"/>
      <c r="V76" s="199"/>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c r="AT76" s="199"/>
      <c r="AU76" s="199"/>
      <c r="AV76" s="199"/>
      <c r="AW76" s="199"/>
      <c r="AX76" s="199"/>
      <c r="AY76" s="199"/>
      <c r="AZ76" s="199"/>
      <c r="BA76" s="199"/>
      <c r="BB76" s="199"/>
      <c r="BC76" s="199"/>
      <c r="BD76" s="199"/>
      <c r="BE76" s="199"/>
      <c r="BF76" s="199"/>
      <c r="BG76" s="199"/>
      <c r="BH76" s="199"/>
      <c r="BI76" s="199"/>
      <c r="BJ76" s="199"/>
      <c r="BK76" s="199"/>
      <c r="BL76" s="199"/>
      <c r="BM76" s="199"/>
      <c r="BN76" s="199"/>
      <c r="BO76" s="199"/>
      <c r="BP76" s="199"/>
      <c r="BQ76" s="199"/>
      <c r="BR76" s="199"/>
      <c r="BS76" s="199"/>
      <c r="BT76" s="199"/>
      <c r="BU76" s="199"/>
      <c r="BV76" s="199"/>
      <c r="BW76" s="199"/>
      <c r="BX76" s="199"/>
      <c r="BY76" s="199"/>
      <c r="BZ76" s="199"/>
      <c r="CA76" s="199"/>
      <c r="CB76" s="199"/>
      <c r="CC76" s="199"/>
      <c r="CD76" s="199"/>
      <c r="CE76" s="199"/>
      <c r="CF76" s="199"/>
      <c r="CG76" s="199"/>
      <c r="CH76" s="199"/>
      <c r="CI76" s="199"/>
      <c r="CJ76" s="199"/>
      <c r="CK76" s="199"/>
      <c r="CL76" s="199"/>
      <c r="CM76" s="199"/>
      <c r="CN76" s="199"/>
      <c r="CO76" s="199"/>
      <c r="CP76" s="199"/>
      <c r="CQ76" s="199"/>
      <c r="CR76" s="199"/>
      <c r="CS76" s="199"/>
      <c r="CT76" s="199"/>
    </row>
    <row r="77" spans="19:98" x14ac:dyDescent="0.25">
      <c r="S77" s="199"/>
      <c r="T77" s="199"/>
      <c r="U77" s="199"/>
      <c r="V77" s="199"/>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99"/>
      <c r="AV77" s="199"/>
      <c r="AW77" s="199"/>
      <c r="AX77" s="199"/>
      <c r="AY77" s="199"/>
      <c r="AZ77" s="199"/>
      <c r="BA77" s="199"/>
      <c r="BB77" s="199"/>
      <c r="BC77" s="199"/>
      <c r="BD77" s="199"/>
      <c r="BE77" s="199"/>
      <c r="BF77" s="199"/>
      <c r="BG77" s="199"/>
      <c r="BH77" s="199"/>
      <c r="BI77" s="199"/>
      <c r="BJ77" s="199"/>
      <c r="BK77" s="199"/>
      <c r="BL77" s="199"/>
      <c r="BM77" s="199"/>
      <c r="BN77" s="199"/>
      <c r="BO77" s="199"/>
      <c r="BP77" s="199"/>
      <c r="BQ77" s="199"/>
      <c r="BR77" s="199"/>
      <c r="BS77" s="199"/>
      <c r="BT77" s="199"/>
      <c r="BU77" s="199"/>
      <c r="BV77" s="199"/>
      <c r="BW77" s="199"/>
      <c r="BX77" s="199"/>
      <c r="BY77" s="199"/>
      <c r="BZ77" s="199"/>
      <c r="CA77" s="199"/>
      <c r="CB77" s="199"/>
      <c r="CC77" s="199"/>
      <c r="CD77" s="199"/>
      <c r="CE77" s="199"/>
      <c r="CF77" s="199"/>
      <c r="CG77" s="199"/>
      <c r="CH77" s="199"/>
      <c r="CI77" s="199"/>
      <c r="CJ77" s="199"/>
      <c r="CK77" s="199"/>
      <c r="CL77" s="199"/>
      <c r="CM77" s="199"/>
      <c r="CN77" s="199"/>
      <c r="CO77" s="199"/>
      <c r="CP77" s="199"/>
      <c r="CQ77" s="199"/>
      <c r="CR77" s="199"/>
      <c r="CS77" s="199"/>
      <c r="CT77" s="199"/>
    </row>
    <row r="78" spans="19:98" x14ac:dyDescent="0.25">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row>
    <row r="79" spans="19:98" x14ac:dyDescent="0.25">
      <c r="S79" s="199"/>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199"/>
      <c r="BL79" s="199"/>
      <c r="BM79" s="199"/>
      <c r="BN79" s="199"/>
      <c r="BO79" s="199"/>
      <c r="BP79" s="199"/>
      <c r="BQ79" s="199"/>
      <c r="BR79" s="199"/>
      <c r="BS79" s="199"/>
      <c r="BT79" s="199"/>
      <c r="BU79" s="199"/>
      <c r="BV79" s="199"/>
      <c r="BW79" s="199"/>
      <c r="BX79" s="199"/>
      <c r="BY79" s="199"/>
      <c r="BZ79" s="199"/>
      <c r="CA79" s="199"/>
      <c r="CB79" s="199"/>
      <c r="CC79" s="199"/>
      <c r="CD79" s="199"/>
      <c r="CE79" s="199"/>
      <c r="CF79" s="199"/>
      <c r="CG79" s="199"/>
      <c r="CH79" s="199"/>
      <c r="CI79" s="199"/>
      <c r="CJ79" s="199"/>
      <c r="CK79" s="199"/>
      <c r="CL79" s="199"/>
      <c r="CM79" s="199"/>
      <c r="CN79" s="199"/>
      <c r="CO79" s="199"/>
      <c r="CP79" s="199"/>
      <c r="CQ79" s="199"/>
      <c r="CR79" s="199"/>
      <c r="CS79" s="199"/>
      <c r="CT79" s="199"/>
    </row>
    <row r="80" spans="19:98" x14ac:dyDescent="0.25">
      <c r="S80" s="199"/>
      <c r="T80" s="199"/>
      <c r="U80" s="199"/>
      <c r="V80" s="199"/>
      <c r="W80" s="199"/>
      <c r="X80" s="199"/>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99"/>
      <c r="AV80" s="199"/>
      <c r="AW80" s="199"/>
      <c r="AX80" s="199"/>
      <c r="AY80" s="199"/>
      <c r="AZ80" s="199"/>
      <c r="BA80" s="199"/>
      <c r="BB80" s="199"/>
      <c r="BC80" s="199"/>
      <c r="BD80" s="199"/>
      <c r="BE80" s="199"/>
      <c r="BF80" s="199"/>
      <c r="BG80" s="199"/>
      <c r="BH80" s="199"/>
      <c r="BI80" s="199"/>
      <c r="BJ80" s="199"/>
      <c r="BK80" s="199"/>
      <c r="BL80" s="199"/>
      <c r="BM80" s="199"/>
      <c r="BN80" s="199"/>
      <c r="BO80" s="199"/>
      <c r="BP80" s="199"/>
      <c r="BQ80" s="199"/>
      <c r="BR80" s="199"/>
      <c r="BS80" s="199"/>
      <c r="BT80" s="199"/>
      <c r="BU80" s="199"/>
      <c r="BV80" s="199"/>
      <c r="BW80" s="199"/>
      <c r="BX80" s="199"/>
      <c r="BY80" s="199"/>
      <c r="BZ80" s="199"/>
      <c r="CA80" s="199"/>
      <c r="CB80" s="199"/>
      <c r="CC80" s="199"/>
      <c r="CD80" s="199"/>
      <c r="CE80" s="199"/>
      <c r="CF80" s="199"/>
      <c r="CG80" s="199"/>
      <c r="CH80" s="199"/>
      <c r="CI80" s="199"/>
      <c r="CJ80" s="199"/>
      <c r="CK80" s="199"/>
      <c r="CL80" s="199"/>
      <c r="CM80" s="199"/>
      <c r="CN80" s="199"/>
      <c r="CO80" s="199"/>
      <c r="CP80" s="199"/>
      <c r="CQ80" s="199"/>
      <c r="CR80" s="199"/>
      <c r="CS80" s="199"/>
      <c r="CT80" s="199"/>
    </row>
    <row r="81" spans="19:98" x14ac:dyDescent="0.25">
      <c r="S81" s="199"/>
      <c r="T81" s="199"/>
      <c r="U81" s="199"/>
      <c r="V81" s="199"/>
      <c r="W81" s="199"/>
      <c r="X81" s="199"/>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c r="AW81" s="199"/>
      <c r="AX81" s="199"/>
      <c r="AY81" s="199"/>
      <c r="AZ81" s="199"/>
      <c r="BA81" s="199"/>
      <c r="BB81" s="199"/>
      <c r="BC81" s="199"/>
      <c r="BD81" s="199"/>
      <c r="BE81" s="199"/>
      <c r="BF81" s="199"/>
      <c r="BG81" s="199"/>
      <c r="BH81" s="199"/>
      <c r="BI81" s="199"/>
      <c r="BJ81" s="199"/>
      <c r="BK81" s="199"/>
      <c r="BL81" s="199"/>
      <c r="BM81" s="199"/>
      <c r="BN81" s="199"/>
      <c r="BO81" s="199"/>
      <c r="BP81" s="199"/>
      <c r="BQ81" s="199"/>
      <c r="BR81" s="199"/>
      <c r="BS81" s="199"/>
      <c r="BT81" s="199"/>
      <c r="BU81" s="199"/>
      <c r="BV81" s="199"/>
      <c r="BW81" s="199"/>
      <c r="BX81" s="199"/>
      <c r="BY81" s="199"/>
      <c r="BZ81" s="199"/>
      <c r="CA81" s="199"/>
      <c r="CB81" s="199"/>
      <c r="CC81" s="199"/>
      <c r="CD81" s="199"/>
      <c r="CE81" s="199"/>
      <c r="CF81" s="199"/>
      <c r="CG81" s="199"/>
      <c r="CH81" s="199"/>
      <c r="CI81" s="199"/>
      <c r="CJ81" s="199"/>
      <c r="CK81" s="199"/>
      <c r="CL81" s="199"/>
      <c r="CM81" s="199"/>
      <c r="CN81" s="199"/>
      <c r="CO81" s="199"/>
      <c r="CP81" s="199"/>
      <c r="CQ81" s="199"/>
      <c r="CR81" s="199"/>
      <c r="CS81" s="199"/>
      <c r="CT81" s="199"/>
    </row>
    <row r="82" spans="19:98" x14ac:dyDescent="0.25">
      <c r="S82" s="199"/>
      <c r="T82" s="199"/>
      <c r="U82" s="199"/>
      <c r="V82" s="199"/>
      <c r="W82" s="199"/>
      <c r="X82" s="199"/>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99"/>
      <c r="AV82" s="199"/>
      <c r="AW82" s="199"/>
      <c r="AX82" s="199"/>
      <c r="AY82" s="199"/>
      <c r="AZ82" s="199"/>
      <c r="BA82" s="199"/>
      <c r="BB82" s="199"/>
      <c r="BC82" s="199"/>
      <c r="BD82" s="199"/>
      <c r="BE82" s="199"/>
      <c r="BF82" s="199"/>
      <c r="BG82" s="199"/>
      <c r="BH82" s="199"/>
      <c r="BI82" s="199"/>
      <c r="BJ82" s="199"/>
      <c r="BK82" s="199"/>
      <c r="BL82" s="199"/>
      <c r="BM82" s="199"/>
      <c r="BN82" s="199"/>
      <c r="BO82" s="199"/>
      <c r="BP82" s="199"/>
      <c r="BQ82" s="199"/>
      <c r="BR82" s="199"/>
      <c r="BS82" s="199"/>
      <c r="BT82" s="199"/>
      <c r="BU82" s="199"/>
      <c r="BV82" s="199"/>
      <c r="BW82" s="199"/>
      <c r="BX82" s="199"/>
      <c r="BY82" s="199"/>
      <c r="BZ82" s="199"/>
      <c r="CA82" s="199"/>
      <c r="CB82" s="199"/>
      <c r="CC82" s="199"/>
      <c r="CD82" s="199"/>
      <c r="CE82" s="199"/>
      <c r="CF82" s="199"/>
      <c r="CG82" s="199"/>
      <c r="CH82" s="199"/>
      <c r="CI82" s="199"/>
      <c r="CJ82" s="199"/>
      <c r="CK82" s="199"/>
      <c r="CL82" s="199"/>
      <c r="CM82" s="199"/>
      <c r="CN82" s="199"/>
      <c r="CO82" s="199"/>
      <c r="CP82" s="199"/>
      <c r="CQ82" s="199"/>
      <c r="CR82" s="199"/>
      <c r="CS82" s="199"/>
      <c r="CT82" s="199"/>
    </row>
    <row r="83" spans="19:98" x14ac:dyDescent="0.25">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c r="AS83" s="199"/>
      <c r="AT83" s="199"/>
      <c r="AU83" s="199"/>
      <c r="AV83" s="199"/>
      <c r="AW83" s="199"/>
      <c r="AX83" s="199"/>
      <c r="AY83" s="199"/>
      <c r="AZ83" s="199"/>
      <c r="BA83" s="199"/>
      <c r="BB83" s="199"/>
      <c r="BC83" s="199"/>
      <c r="BD83" s="199"/>
      <c r="BE83" s="199"/>
      <c r="BF83" s="199"/>
      <c r="BG83" s="199"/>
      <c r="BH83" s="199"/>
      <c r="BI83" s="199"/>
      <c r="BJ83" s="199"/>
      <c r="BK83" s="199"/>
      <c r="BL83" s="199"/>
      <c r="BM83" s="199"/>
      <c r="BN83" s="199"/>
      <c r="BO83" s="199"/>
      <c r="BP83" s="199"/>
      <c r="BQ83" s="199"/>
      <c r="BR83" s="199"/>
      <c r="BS83" s="199"/>
      <c r="BT83" s="199"/>
      <c r="BU83" s="199"/>
      <c r="BV83" s="199"/>
      <c r="BW83" s="199"/>
      <c r="BX83" s="199"/>
      <c r="BY83" s="199"/>
      <c r="BZ83" s="199"/>
      <c r="CA83" s="199"/>
      <c r="CB83" s="199"/>
      <c r="CC83" s="199"/>
      <c r="CD83" s="199"/>
      <c r="CE83" s="199"/>
      <c r="CF83" s="199"/>
      <c r="CG83" s="199"/>
      <c r="CH83" s="199"/>
      <c r="CI83" s="199"/>
      <c r="CJ83" s="199"/>
      <c r="CK83" s="199"/>
      <c r="CL83" s="199"/>
      <c r="CM83" s="199"/>
      <c r="CN83" s="199"/>
      <c r="CO83" s="199"/>
      <c r="CP83" s="199"/>
      <c r="CQ83" s="199"/>
      <c r="CR83" s="199"/>
      <c r="CS83" s="199"/>
      <c r="CT83" s="199"/>
    </row>
    <row r="84" spans="19:98" x14ac:dyDescent="0.25">
      <c r="S84" s="199"/>
      <c r="T84" s="199"/>
      <c r="U84" s="199"/>
      <c r="V84" s="199"/>
      <c r="W84" s="199"/>
      <c r="X84" s="199"/>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99"/>
      <c r="AV84" s="199"/>
      <c r="AW84" s="199"/>
      <c r="AX84" s="199"/>
      <c r="AY84" s="199"/>
      <c r="AZ84" s="199"/>
      <c r="BA84" s="199"/>
      <c r="BB84" s="199"/>
      <c r="BC84" s="199"/>
      <c r="BD84" s="199"/>
      <c r="BE84" s="199"/>
      <c r="BF84" s="199"/>
      <c r="BG84" s="199"/>
      <c r="BH84" s="199"/>
      <c r="BI84" s="199"/>
      <c r="BJ84" s="199"/>
      <c r="BK84" s="199"/>
      <c r="BL84" s="199"/>
      <c r="BM84" s="199"/>
      <c r="BN84" s="199"/>
      <c r="BO84" s="199"/>
      <c r="BP84" s="199"/>
      <c r="BQ84" s="199"/>
      <c r="BR84" s="199"/>
      <c r="BS84" s="199"/>
      <c r="BT84" s="199"/>
      <c r="BU84" s="199"/>
      <c r="BV84" s="199"/>
      <c r="BW84" s="199"/>
      <c r="BX84" s="199"/>
      <c r="BY84" s="199"/>
      <c r="BZ84" s="199"/>
      <c r="CA84" s="199"/>
      <c r="CB84" s="199"/>
      <c r="CC84" s="199"/>
      <c r="CD84" s="199"/>
      <c r="CE84" s="199"/>
      <c r="CF84" s="199"/>
      <c r="CG84" s="199"/>
      <c r="CH84" s="199"/>
      <c r="CI84" s="199"/>
      <c r="CJ84" s="199"/>
      <c r="CK84" s="199"/>
      <c r="CL84" s="199"/>
      <c r="CM84" s="199"/>
      <c r="CN84" s="199"/>
      <c r="CO84" s="199"/>
      <c r="CP84" s="199"/>
      <c r="CQ84" s="199"/>
      <c r="CR84" s="199"/>
      <c r="CS84" s="199"/>
      <c r="CT84" s="199"/>
    </row>
    <row r="85" spans="19:98" x14ac:dyDescent="0.25">
      <c r="S85" s="199"/>
      <c r="T85" s="199"/>
      <c r="U85" s="199"/>
      <c r="V85" s="199"/>
      <c r="W85" s="199"/>
      <c r="X85" s="199"/>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99"/>
      <c r="BW85" s="199"/>
      <c r="BX85" s="199"/>
      <c r="BY85" s="199"/>
      <c r="BZ85" s="199"/>
      <c r="CA85" s="199"/>
      <c r="CB85" s="199"/>
      <c r="CC85" s="199"/>
      <c r="CD85" s="199"/>
      <c r="CE85" s="199"/>
      <c r="CF85" s="199"/>
      <c r="CG85" s="199"/>
      <c r="CH85" s="199"/>
      <c r="CI85" s="199"/>
      <c r="CJ85" s="199"/>
      <c r="CK85" s="199"/>
      <c r="CL85" s="199"/>
      <c r="CM85" s="199"/>
      <c r="CN85" s="199"/>
      <c r="CO85" s="199"/>
      <c r="CP85" s="199"/>
      <c r="CQ85" s="199"/>
      <c r="CR85" s="199"/>
      <c r="CS85" s="199"/>
      <c r="CT85" s="199"/>
    </row>
    <row r="86" spans="19:98" x14ac:dyDescent="0.25">
      <c r="S86" s="199"/>
      <c r="T86" s="199"/>
      <c r="U86" s="199"/>
      <c r="V86" s="199"/>
      <c r="W86" s="199"/>
      <c r="X86" s="199"/>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99"/>
      <c r="AV86" s="199"/>
      <c r="AW86" s="199"/>
      <c r="AX86" s="199"/>
      <c r="AY86" s="199"/>
      <c r="AZ86" s="199"/>
      <c r="BA86" s="199"/>
      <c r="BB86" s="199"/>
      <c r="BC86" s="199"/>
      <c r="BD86" s="199"/>
      <c r="BE86" s="199"/>
      <c r="BF86" s="199"/>
      <c r="BG86" s="199"/>
      <c r="BH86" s="199"/>
      <c r="BI86" s="199"/>
      <c r="BJ86" s="199"/>
      <c r="BK86" s="199"/>
      <c r="BL86" s="199"/>
      <c r="BM86" s="199"/>
      <c r="BN86" s="199"/>
      <c r="BO86" s="199"/>
      <c r="BP86" s="199"/>
      <c r="BQ86" s="199"/>
      <c r="BR86" s="199"/>
      <c r="BS86" s="199"/>
      <c r="BT86" s="199"/>
      <c r="BU86" s="199"/>
      <c r="BV86" s="199"/>
      <c r="BW86" s="199"/>
      <c r="BX86" s="199"/>
      <c r="BY86" s="199"/>
      <c r="BZ86" s="199"/>
      <c r="CA86" s="199"/>
      <c r="CB86" s="199"/>
      <c r="CC86" s="199"/>
      <c r="CD86" s="199"/>
      <c r="CE86" s="199"/>
      <c r="CF86" s="199"/>
      <c r="CG86" s="199"/>
      <c r="CH86" s="199"/>
      <c r="CI86" s="199"/>
      <c r="CJ86" s="199"/>
      <c r="CK86" s="199"/>
      <c r="CL86" s="199"/>
      <c r="CM86" s="199"/>
      <c r="CN86" s="199"/>
      <c r="CO86" s="199"/>
      <c r="CP86" s="199"/>
      <c r="CQ86" s="199"/>
      <c r="CR86" s="199"/>
      <c r="CS86" s="199"/>
      <c r="CT86" s="199"/>
    </row>
    <row r="87" spans="19:98" x14ac:dyDescent="0.25">
      <c r="S87" s="199"/>
      <c r="T87" s="199"/>
      <c r="U87" s="199"/>
      <c r="V87" s="199"/>
      <c r="W87" s="199"/>
      <c r="X87" s="199"/>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99"/>
      <c r="AV87" s="199"/>
      <c r="AW87" s="199"/>
      <c r="AX87" s="199"/>
      <c r="AY87" s="199"/>
      <c r="AZ87" s="199"/>
      <c r="BA87" s="199"/>
      <c r="BB87" s="199"/>
      <c r="BC87" s="199"/>
      <c r="BD87" s="199"/>
      <c r="BE87" s="199"/>
      <c r="BF87" s="199"/>
      <c r="BG87" s="199"/>
      <c r="BH87" s="199"/>
      <c r="BI87" s="199"/>
      <c r="BJ87" s="199"/>
      <c r="BK87" s="199"/>
      <c r="BL87" s="199"/>
      <c r="BM87" s="199"/>
      <c r="BN87" s="199"/>
      <c r="BO87" s="199"/>
      <c r="BP87" s="199"/>
      <c r="BQ87" s="199"/>
      <c r="BR87" s="199"/>
      <c r="BS87" s="199"/>
      <c r="BT87" s="199"/>
      <c r="BU87" s="199"/>
      <c r="BV87" s="199"/>
      <c r="BW87" s="199"/>
      <c r="BX87" s="199"/>
      <c r="BY87" s="199"/>
      <c r="BZ87" s="199"/>
      <c r="CA87" s="199"/>
      <c r="CB87" s="199"/>
      <c r="CC87" s="199"/>
      <c r="CD87" s="199"/>
      <c r="CE87" s="199"/>
      <c r="CF87" s="199"/>
      <c r="CG87" s="199"/>
      <c r="CH87" s="199"/>
      <c r="CI87" s="199"/>
      <c r="CJ87" s="199"/>
      <c r="CK87" s="199"/>
      <c r="CL87" s="199"/>
      <c r="CM87" s="199"/>
      <c r="CN87" s="199"/>
      <c r="CO87" s="199"/>
      <c r="CP87" s="199"/>
      <c r="CQ87" s="199"/>
      <c r="CR87" s="199"/>
      <c r="CS87" s="199"/>
      <c r="CT87" s="199"/>
    </row>
    <row r="88" spans="19:98" x14ac:dyDescent="0.25">
      <c r="S88" s="199"/>
      <c r="T88" s="199"/>
      <c r="U88" s="199"/>
      <c r="V88" s="199"/>
      <c r="W88" s="199"/>
      <c r="X88" s="199"/>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199"/>
      <c r="BZ88" s="199"/>
      <c r="CA88" s="199"/>
      <c r="CB88" s="199"/>
      <c r="CC88" s="199"/>
      <c r="CD88" s="199"/>
      <c r="CE88" s="199"/>
      <c r="CF88" s="199"/>
      <c r="CG88" s="199"/>
      <c r="CH88" s="199"/>
      <c r="CI88" s="199"/>
      <c r="CJ88" s="199"/>
      <c r="CK88" s="199"/>
      <c r="CL88" s="199"/>
      <c r="CM88" s="199"/>
      <c r="CN88" s="199"/>
      <c r="CO88" s="199"/>
      <c r="CP88" s="199"/>
      <c r="CQ88" s="199"/>
      <c r="CR88" s="199"/>
      <c r="CS88" s="199"/>
      <c r="CT88" s="199"/>
    </row>
    <row r="89" spans="19:98" x14ac:dyDescent="0.25">
      <c r="S89" s="199"/>
      <c r="T89" s="199"/>
      <c r="U89" s="199"/>
      <c r="V89" s="199"/>
      <c r="W89" s="199"/>
      <c r="X89" s="199"/>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99"/>
      <c r="BW89" s="199"/>
      <c r="BX89" s="199"/>
      <c r="BY89" s="199"/>
      <c r="BZ89" s="199"/>
      <c r="CA89" s="199"/>
      <c r="CB89" s="199"/>
      <c r="CC89" s="199"/>
      <c r="CD89" s="199"/>
      <c r="CE89" s="199"/>
      <c r="CF89" s="199"/>
      <c r="CG89" s="199"/>
      <c r="CH89" s="199"/>
      <c r="CI89" s="199"/>
      <c r="CJ89" s="199"/>
      <c r="CK89" s="199"/>
      <c r="CL89" s="199"/>
      <c r="CM89" s="199"/>
      <c r="CN89" s="199"/>
      <c r="CO89" s="199"/>
      <c r="CP89" s="199"/>
      <c r="CQ89" s="199"/>
      <c r="CR89" s="199"/>
      <c r="CS89" s="199"/>
      <c r="CT89" s="199"/>
    </row>
    <row r="90" spans="19:98" x14ac:dyDescent="0.25">
      <c r="S90" s="199"/>
      <c r="T90" s="199"/>
      <c r="U90" s="199"/>
      <c r="V90" s="199"/>
      <c r="W90" s="199"/>
      <c r="X90" s="199"/>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99"/>
      <c r="BW90" s="199"/>
      <c r="BX90" s="199"/>
      <c r="BY90" s="199"/>
      <c r="BZ90" s="199"/>
      <c r="CA90" s="199"/>
      <c r="CB90" s="199"/>
      <c r="CC90" s="199"/>
      <c r="CD90" s="199"/>
      <c r="CE90" s="199"/>
      <c r="CF90" s="199"/>
      <c r="CG90" s="199"/>
      <c r="CH90" s="199"/>
      <c r="CI90" s="199"/>
      <c r="CJ90" s="199"/>
      <c r="CK90" s="199"/>
      <c r="CL90" s="199"/>
      <c r="CM90" s="199"/>
      <c r="CN90" s="199"/>
      <c r="CO90" s="199"/>
      <c r="CP90" s="199"/>
      <c r="CQ90" s="199"/>
      <c r="CR90" s="199"/>
      <c r="CS90" s="199"/>
      <c r="CT90" s="199"/>
    </row>
    <row r="91" spans="19:98" x14ac:dyDescent="0.25">
      <c r="S91" s="199"/>
      <c r="T91" s="199"/>
      <c r="U91" s="199"/>
      <c r="V91" s="199"/>
      <c r="W91" s="199"/>
      <c r="X91" s="199"/>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99"/>
      <c r="BW91" s="199"/>
      <c r="BX91" s="199"/>
      <c r="BY91" s="199"/>
      <c r="BZ91" s="199"/>
      <c r="CA91" s="199"/>
      <c r="CB91" s="199"/>
      <c r="CC91" s="199"/>
      <c r="CD91" s="199"/>
      <c r="CE91" s="199"/>
      <c r="CF91" s="199"/>
      <c r="CG91" s="199"/>
      <c r="CH91" s="199"/>
      <c r="CI91" s="199"/>
      <c r="CJ91" s="199"/>
      <c r="CK91" s="199"/>
      <c r="CL91" s="199"/>
      <c r="CM91" s="199"/>
      <c r="CN91" s="199"/>
      <c r="CO91" s="199"/>
      <c r="CP91" s="199"/>
      <c r="CQ91" s="199"/>
      <c r="CR91" s="199"/>
      <c r="CS91" s="199"/>
      <c r="CT91" s="199"/>
    </row>
    <row r="92" spans="19:98" x14ac:dyDescent="0.25">
      <c r="S92" s="199"/>
      <c r="T92" s="199"/>
      <c r="U92" s="199"/>
      <c r="V92" s="199"/>
      <c r="W92" s="199"/>
      <c r="X92" s="199"/>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99"/>
      <c r="BW92" s="199"/>
      <c r="BX92" s="199"/>
      <c r="BY92" s="199"/>
      <c r="BZ92" s="199"/>
      <c r="CA92" s="199"/>
      <c r="CB92" s="199"/>
      <c r="CC92" s="199"/>
      <c r="CD92" s="199"/>
      <c r="CE92" s="199"/>
      <c r="CF92" s="199"/>
      <c r="CG92" s="199"/>
      <c r="CH92" s="199"/>
      <c r="CI92" s="199"/>
      <c r="CJ92" s="199"/>
      <c r="CK92" s="199"/>
      <c r="CL92" s="199"/>
      <c r="CM92" s="199"/>
      <c r="CN92" s="199"/>
      <c r="CO92" s="199"/>
      <c r="CP92" s="199"/>
      <c r="CQ92" s="199"/>
      <c r="CR92" s="199"/>
      <c r="CS92" s="199"/>
      <c r="CT92" s="199"/>
    </row>
    <row r="93" spans="19:98" x14ac:dyDescent="0.25">
      <c r="S93" s="199"/>
      <c r="T93" s="199"/>
      <c r="U93" s="199"/>
      <c r="V93" s="199"/>
      <c r="W93" s="199"/>
      <c r="X93" s="199"/>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99"/>
      <c r="BW93" s="199"/>
      <c r="BX93" s="199"/>
      <c r="BY93" s="199"/>
      <c r="BZ93" s="199"/>
      <c r="CA93" s="199"/>
      <c r="CB93" s="199"/>
      <c r="CC93" s="199"/>
      <c r="CD93" s="199"/>
      <c r="CE93" s="199"/>
      <c r="CF93" s="199"/>
      <c r="CG93" s="199"/>
      <c r="CH93" s="199"/>
      <c r="CI93" s="199"/>
      <c r="CJ93" s="199"/>
      <c r="CK93" s="199"/>
      <c r="CL93" s="199"/>
      <c r="CM93" s="199"/>
      <c r="CN93" s="199"/>
      <c r="CO93" s="199"/>
      <c r="CP93" s="199"/>
      <c r="CQ93" s="199"/>
      <c r="CR93" s="199"/>
      <c r="CS93" s="199"/>
      <c r="CT93" s="199"/>
    </row>
    <row r="94" spans="19:98" x14ac:dyDescent="0.25">
      <c r="S94" s="199"/>
      <c r="T94" s="199"/>
      <c r="U94" s="199"/>
      <c r="V94" s="199"/>
      <c r="W94" s="199"/>
      <c r="X94" s="199"/>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99"/>
      <c r="BW94" s="199"/>
      <c r="BX94" s="199"/>
      <c r="BY94" s="199"/>
      <c r="BZ94" s="199"/>
      <c r="CA94" s="199"/>
      <c r="CB94" s="199"/>
      <c r="CC94" s="199"/>
      <c r="CD94" s="199"/>
      <c r="CE94" s="199"/>
      <c r="CF94" s="199"/>
      <c r="CG94" s="199"/>
      <c r="CH94" s="199"/>
      <c r="CI94" s="199"/>
      <c r="CJ94" s="199"/>
      <c r="CK94" s="199"/>
      <c r="CL94" s="199"/>
      <c r="CM94" s="199"/>
      <c r="CN94" s="199"/>
      <c r="CO94" s="199"/>
      <c r="CP94" s="199"/>
      <c r="CQ94" s="199"/>
      <c r="CR94" s="199"/>
      <c r="CS94" s="199"/>
      <c r="CT94" s="199"/>
    </row>
    <row r="95" spans="19:98" x14ac:dyDescent="0.25">
      <c r="S95" s="199"/>
      <c r="T95" s="199"/>
      <c r="U95" s="199"/>
      <c r="V95" s="199"/>
      <c r="W95" s="199"/>
      <c r="X95" s="199"/>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99"/>
      <c r="BW95" s="199"/>
      <c r="BX95" s="199"/>
      <c r="BY95" s="199"/>
      <c r="BZ95" s="199"/>
      <c r="CA95" s="199"/>
      <c r="CB95" s="199"/>
      <c r="CC95" s="199"/>
      <c r="CD95" s="199"/>
      <c r="CE95" s="199"/>
      <c r="CF95" s="199"/>
      <c r="CG95" s="199"/>
      <c r="CH95" s="199"/>
      <c r="CI95" s="199"/>
      <c r="CJ95" s="199"/>
      <c r="CK95" s="199"/>
      <c r="CL95" s="199"/>
      <c r="CM95" s="199"/>
      <c r="CN95" s="199"/>
      <c r="CO95" s="199"/>
      <c r="CP95" s="199"/>
      <c r="CQ95" s="199"/>
      <c r="CR95" s="199"/>
      <c r="CS95" s="199"/>
      <c r="CT95" s="199"/>
    </row>
    <row r="96" spans="19:98" x14ac:dyDescent="0.25">
      <c r="S96" s="199"/>
      <c r="T96" s="199"/>
      <c r="U96" s="199"/>
      <c r="V96" s="199"/>
      <c r="W96" s="199"/>
      <c r="X96" s="199"/>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199"/>
      <c r="BE96" s="199"/>
      <c r="BF96" s="199"/>
      <c r="BG96" s="199"/>
      <c r="BH96" s="199"/>
      <c r="BI96" s="199"/>
      <c r="BJ96" s="199"/>
      <c r="BK96" s="199"/>
      <c r="BL96" s="199"/>
      <c r="BM96" s="199"/>
      <c r="BN96" s="199"/>
      <c r="BO96" s="199"/>
      <c r="BP96" s="199"/>
      <c r="BQ96" s="199"/>
      <c r="BR96" s="199"/>
      <c r="BS96" s="199"/>
      <c r="BT96" s="199"/>
      <c r="BU96" s="199"/>
      <c r="BV96" s="199"/>
      <c r="BW96" s="199"/>
      <c r="BX96" s="199"/>
      <c r="BY96" s="199"/>
      <c r="BZ96" s="199"/>
      <c r="CA96" s="199"/>
      <c r="CB96" s="199"/>
      <c r="CC96" s="199"/>
      <c r="CD96" s="199"/>
      <c r="CE96" s="199"/>
      <c r="CF96" s="199"/>
      <c r="CG96" s="199"/>
      <c r="CH96" s="199"/>
      <c r="CI96" s="199"/>
      <c r="CJ96" s="199"/>
      <c r="CK96" s="199"/>
      <c r="CL96" s="199"/>
      <c r="CM96" s="199"/>
      <c r="CN96" s="199"/>
      <c r="CO96" s="199"/>
      <c r="CP96" s="199"/>
      <c r="CQ96" s="199"/>
      <c r="CR96" s="199"/>
      <c r="CS96" s="199"/>
      <c r="CT96" s="199"/>
    </row>
    <row r="97" spans="19:98" x14ac:dyDescent="0.25">
      <c r="S97" s="199"/>
      <c r="T97" s="199"/>
      <c r="U97" s="199"/>
      <c r="V97" s="199"/>
      <c r="W97" s="199"/>
      <c r="X97" s="199"/>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199"/>
      <c r="BI97" s="199"/>
      <c r="BJ97" s="199"/>
      <c r="BK97" s="199"/>
      <c r="BL97" s="199"/>
      <c r="BM97" s="199"/>
      <c r="BN97" s="199"/>
      <c r="BO97" s="199"/>
      <c r="BP97" s="199"/>
      <c r="BQ97" s="199"/>
      <c r="BR97" s="199"/>
      <c r="BS97" s="199"/>
      <c r="BT97" s="199"/>
      <c r="BU97" s="199"/>
      <c r="BV97" s="199"/>
      <c r="BW97" s="199"/>
      <c r="BX97" s="199"/>
      <c r="BY97" s="199"/>
      <c r="BZ97" s="199"/>
      <c r="CA97" s="199"/>
      <c r="CB97" s="199"/>
      <c r="CC97" s="199"/>
      <c r="CD97" s="199"/>
      <c r="CE97" s="199"/>
      <c r="CF97" s="199"/>
      <c r="CG97" s="199"/>
      <c r="CH97" s="199"/>
      <c r="CI97" s="199"/>
      <c r="CJ97" s="199"/>
      <c r="CK97" s="199"/>
      <c r="CL97" s="199"/>
      <c r="CM97" s="199"/>
      <c r="CN97" s="199"/>
      <c r="CO97" s="199"/>
      <c r="CP97" s="199"/>
      <c r="CQ97" s="199"/>
      <c r="CR97" s="199"/>
      <c r="CS97" s="199"/>
      <c r="CT97" s="199"/>
    </row>
    <row r="98" spans="19:98" x14ac:dyDescent="0.25">
      <c r="S98" s="199"/>
      <c r="T98" s="199"/>
      <c r="U98" s="199"/>
      <c r="V98" s="199"/>
      <c r="W98" s="199"/>
      <c r="X98" s="199"/>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c r="AW98" s="199"/>
      <c r="AX98" s="199"/>
      <c r="AY98" s="199"/>
      <c r="AZ98" s="199"/>
      <c r="BA98" s="199"/>
      <c r="BB98" s="199"/>
      <c r="BC98" s="199"/>
      <c r="BD98" s="199"/>
      <c r="BE98" s="199"/>
      <c r="BF98" s="199"/>
      <c r="BG98" s="199"/>
      <c r="BH98" s="199"/>
      <c r="BI98" s="199"/>
      <c r="BJ98" s="199"/>
      <c r="BK98" s="199"/>
      <c r="BL98" s="199"/>
      <c r="BM98" s="199"/>
      <c r="BN98" s="199"/>
      <c r="BO98" s="199"/>
      <c r="BP98" s="199"/>
      <c r="BQ98" s="199"/>
      <c r="BR98" s="199"/>
      <c r="BS98" s="199"/>
      <c r="BT98" s="199"/>
      <c r="BU98" s="199"/>
      <c r="BV98" s="199"/>
      <c r="BW98" s="199"/>
      <c r="BX98" s="199"/>
      <c r="BY98" s="199"/>
      <c r="BZ98" s="199"/>
      <c r="CA98" s="199"/>
      <c r="CB98" s="199"/>
      <c r="CC98" s="199"/>
      <c r="CD98" s="199"/>
      <c r="CE98" s="199"/>
      <c r="CF98" s="199"/>
      <c r="CG98" s="199"/>
      <c r="CH98" s="199"/>
      <c r="CI98" s="199"/>
      <c r="CJ98" s="199"/>
      <c r="CK98" s="199"/>
      <c r="CL98" s="199"/>
      <c r="CM98" s="199"/>
      <c r="CN98" s="199"/>
      <c r="CO98" s="199"/>
      <c r="CP98" s="199"/>
      <c r="CQ98" s="199"/>
      <c r="CR98" s="199"/>
      <c r="CS98" s="199"/>
      <c r="CT98" s="199"/>
    </row>
    <row r="99" spans="19:98" x14ac:dyDescent="0.25">
      <c r="S99" s="199"/>
      <c r="T99" s="199"/>
      <c r="U99" s="199"/>
      <c r="V99" s="199"/>
      <c r="W99" s="199"/>
      <c r="X99" s="199"/>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199"/>
      <c r="BE99" s="199"/>
      <c r="BF99" s="199"/>
      <c r="BG99" s="199"/>
      <c r="BH99" s="199"/>
      <c r="BI99" s="199"/>
      <c r="BJ99" s="199"/>
      <c r="BK99" s="199"/>
      <c r="BL99" s="199"/>
      <c r="BM99" s="199"/>
      <c r="BN99" s="199"/>
      <c r="BO99" s="199"/>
      <c r="BP99" s="199"/>
      <c r="BQ99" s="199"/>
      <c r="BR99" s="199"/>
      <c r="BS99" s="199"/>
      <c r="BT99" s="199"/>
      <c r="BU99" s="199"/>
      <c r="BV99" s="199"/>
      <c r="BW99" s="199"/>
      <c r="BX99" s="199"/>
      <c r="BY99" s="199"/>
      <c r="BZ99" s="199"/>
      <c r="CA99" s="199"/>
      <c r="CB99" s="199"/>
      <c r="CC99" s="199"/>
      <c r="CD99" s="199"/>
      <c r="CE99" s="199"/>
      <c r="CF99" s="199"/>
      <c r="CG99" s="199"/>
      <c r="CH99" s="199"/>
      <c r="CI99" s="199"/>
      <c r="CJ99" s="199"/>
      <c r="CK99" s="199"/>
      <c r="CL99" s="199"/>
      <c r="CM99" s="199"/>
      <c r="CN99" s="199"/>
      <c r="CO99" s="199"/>
      <c r="CP99" s="199"/>
      <c r="CQ99" s="199"/>
      <c r="CR99" s="199"/>
      <c r="CS99" s="199"/>
      <c r="CT99" s="199"/>
    </row>
    <row r="100" spans="19:98" x14ac:dyDescent="0.25">
      <c r="S100" s="199"/>
      <c r="T100" s="199"/>
      <c r="U100" s="199"/>
      <c r="V100" s="199"/>
      <c r="W100" s="199"/>
      <c r="X100" s="199"/>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c r="AW100" s="199"/>
      <c r="AX100" s="199"/>
      <c r="AY100" s="199"/>
      <c r="AZ100" s="199"/>
      <c r="BA100" s="199"/>
      <c r="BB100" s="199"/>
      <c r="BC100" s="199"/>
      <c r="BD100" s="199"/>
      <c r="BE100" s="199"/>
      <c r="BF100" s="199"/>
      <c r="BG100" s="199"/>
      <c r="BH100" s="199"/>
      <c r="BI100" s="199"/>
      <c r="BJ100" s="199"/>
      <c r="BK100" s="199"/>
      <c r="BL100" s="199"/>
      <c r="BM100" s="199"/>
      <c r="BN100" s="199"/>
      <c r="BO100" s="199"/>
      <c r="BP100" s="199"/>
      <c r="BQ100" s="199"/>
      <c r="BR100" s="199"/>
      <c r="BS100" s="199"/>
      <c r="BT100" s="199"/>
      <c r="BU100" s="199"/>
      <c r="BV100" s="199"/>
      <c r="BW100" s="199"/>
      <c r="BX100" s="199"/>
      <c r="BY100" s="199"/>
      <c r="BZ100" s="199"/>
      <c r="CA100" s="199"/>
      <c r="CB100" s="199"/>
      <c r="CC100" s="199"/>
      <c r="CD100" s="199"/>
      <c r="CE100" s="199"/>
      <c r="CF100" s="199"/>
      <c r="CG100" s="199"/>
      <c r="CH100" s="199"/>
      <c r="CI100" s="199"/>
      <c r="CJ100" s="199"/>
      <c r="CK100" s="199"/>
      <c r="CL100" s="199"/>
      <c r="CM100" s="199"/>
      <c r="CN100" s="199"/>
      <c r="CO100" s="199"/>
      <c r="CP100" s="199"/>
      <c r="CQ100" s="199"/>
      <c r="CR100" s="199"/>
      <c r="CS100" s="199"/>
      <c r="CT100" s="199"/>
    </row>
    <row r="101" spans="19:98" x14ac:dyDescent="0.25">
      <c r="S101" s="199"/>
      <c r="T101" s="199"/>
      <c r="U101" s="199"/>
      <c r="V101" s="199"/>
      <c r="W101" s="199"/>
      <c r="X101" s="199"/>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c r="AW101" s="199"/>
      <c r="AX101" s="199"/>
      <c r="AY101" s="199"/>
      <c r="AZ101" s="199"/>
      <c r="BA101" s="199"/>
      <c r="BB101" s="199"/>
      <c r="BC101" s="199"/>
      <c r="BD101" s="199"/>
      <c r="BE101" s="199"/>
      <c r="BF101" s="199"/>
      <c r="BG101" s="199"/>
      <c r="BH101" s="199"/>
      <c r="BI101" s="199"/>
      <c r="BJ101" s="199"/>
      <c r="BK101" s="199"/>
      <c r="BL101" s="199"/>
      <c r="BM101" s="199"/>
      <c r="BN101" s="199"/>
      <c r="BO101" s="199"/>
      <c r="BP101" s="199"/>
      <c r="BQ101" s="199"/>
      <c r="BR101" s="199"/>
      <c r="BS101" s="199"/>
      <c r="BT101" s="199"/>
      <c r="BU101" s="199"/>
      <c r="BV101" s="199"/>
      <c r="BW101" s="199"/>
      <c r="BX101" s="199"/>
      <c r="BY101" s="199"/>
      <c r="BZ101" s="199"/>
      <c r="CA101" s="199"/>
      <c r="CB101" s="199"/>
      <c r="CC101" s="199"/>
      <c r="CD101" s="199"/>
      <c r="CE101" s="199"/>
      <c r="CF101" s="199"/>
      <c r="CG101" s="199"/>
      <c r="CH101" s="199"/>
      <c r="CI101" s="199"/>
      <c r="CJ101" s="199"/>
      <c r="CK101" s="199"/>
      <c r="CL101" s="199"/>
      <c r="CM101" s="199"/>
      <c r="CN101" s="199"/>
      <c r="CO101" s="199"/>
      <c r="CP101" s="199"/>
      <c r="CQ101" s="199"/>
      <c r="CR101" s="199"/>
      <c r="CS101" s="199"/>
      <c r="CT101" s="199"/>
    </row>
    <row r="102" spans="19:98" x14ac:dyDescent="0.25">
      <c r="S102" s="199"/>
      <c r="T102" s="199"/>
      <c r="U102" s="199"/>
      <c r="V102" s="199"/>
      <c r="W102" s="199"/>
      <c r="X102" s="199"/>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c r="AW102" s="199"/>
      <c r="AX102" s="199"/>
      <c r="AY102" s="199"/>
      <c r="AZ102" s="199"/>
      <c r="BA102" s="199"/>
      <c r="BB102" s="199"/>
      <c r="BC102" s="199"/>
      <c r="BD102" s="199"/>
      <c r="BE102" s="199"/>
      <c r="BF102" s="199"/>
      <c r="BG102" s="199"/>
      <c r="BH102" s="199"/>
      <c r="BI102" s="199"/>
      <c r="BJ102" s="199"/>
      <c r="BK102" s="199"/>
      <c r="BL102" s="199"/>
      <c r="BM102" s="199"/>
      <c r="BN102" s="199"/>
      <c r="BO102" s="199"/>
      <c r="BP102" s="199"/>
      <c r="BQ102" s="199"/>
      <c r="BR102" s="199"/>
      <c r="BS102" s="199"/>
      <c r="BT102" s="199"/>
      <c r="BU102" s="199"/>
      <c r="BV102" s="199"/>
      <c r="BW102" s="199"/>
      <c r="BX102" s="199"/>
      <c r="BY102" s="199"/>
      <c r="BZ102" s="199"/>
      <c r="CA102" s="199"/>
      <c r="CB102" s="199"/>
      <c r="CC102" s="199"/>
      <c r="CD102" s="199"/>
      <c r="CE102" s="199"/>
      <c r="CF102" s="199"/>
      <c r="CG102" s="199"/>
      <c r="CH102" s="199"/>
      <c r="CI102" s="199"/>
      <c r="CJ102" s="199"/>
      <c r="CK102" s="199"/>
      <c r="CL102" s="199"/>
      <c r="CM102" s="199"/>
      <c r="CN102" s="199"/>
      <c r="CO102" s="199"/>
      <c r="CP102" s="199"/>
      <c r="CQ102" s="199"/>
      <c r="CR102" s="199"/>
      <c r="CS102" s="199"/>
      <c r="CT102" s="199"/>
    </row>
    <row r="103" spans="19:98" x14ac:dyDescent="0.25">
      <c r="S103" s="199"/>
      <c r="T103" s="199"/>
      <c r="U103" s="199"/>
      <c r="V103" s="199"/>
      <c r="W103" s="199"/>
      <c r="X103" s="199"/>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c r="AW103" s="199"/>
      <c r="AX103" s="199"/>
      <c r="AY103" s="199"/>
      <c r="AZ103" s="199"/>
      <c r="BA103" s="199"/>
      <c r="BB103" s="199"/>
      <c r="BC103" s="199"/>
      <c r="BD103" s="199"/>
      <c r="BE103" s="199"/>
      <c r="BF103" s="199"/>
      <c r="BG103" s="199"/>
      <c r="BH103" s="199"/>
      <c r="BI103" s="199"/>
      <c r="BJ103" s="199"/>
      <c r="BK103" s="199"/>
      <c r="BL103" s="199"/>
      <c r="BM103" s="199"/>
      <c r="BN103" s="199"/>
      <c r="BO103" s="199"/>
      <c r="BP103" s="199"/>
      <c r="BQ103" s="199"/>
      <c r="BR103" s="199"/>
      <c r="BS103" s="199"/>
      <c r="BT103" s="199"/>
      <c r="BU103" s="199"/>
      <c r="BV103" s="199"/>
      <c r="BW103" s="199"/>
      <c r="BX103" s="199"/>
      <c r="BY103" s="199"/>
      <c r="BZ103" s="199"/>
      <c r="CA103" s="199"/>
      <c r="CB103" s="199"/>
      <c r="CC103" s="199"/>
      <c r="CD103" s="199"/>
      <c r="CE103" s="199"/>
      <c r="CF103" s="199"/>
      <c r="CG103" s="199"/>
      <c r="CH103" s="199"/>
      <c r="CI103" s="199"/>
      <c r="CJ103" s="199"/>
      <c r="CK103" s="199"/>
      <c r="CL103" s="199"/>
      <c r="CM103" s="199"/>
      <c r="CN103" s="199"/>
      <c r="CO103" s="199"/>
      <c r="CP103" s="199"/>
      <c r="CQ103" s="199"/>
      <c r="CR103" s="199"/>
      <c r="CS103" s="199"/>
      <c r="CT103" s="199"/>
    </row>
    <row r="104" spans="19:98" x14ac:dyDescent="0.25">
      <c r="S104" s="199"/>
      <c r="T104" s="199"/>
      <c r="U104" s="199"/>
      <c r="V104" s="199"/>
      <c r="W104" s="199"/>
      <c r="X104" s="199"/>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c r="AW104" s="199"/>
      <c r="AX104" s="199"/>
      <c r="AY104" s="199"/>
      <c r="AZ104" s="199"/>
      <c r="BA104" s="199"/>
      <c r="BB104" s="199"/>
      <c r="BC104" s="199"/>
      <c r="BD104" s="199"/>
      <c r="BE104" s="199"/>
      <c r="BF104" s="199"/>
      <c r="BG104" s="199"/>
      <c r="BH104" s="199"/>
      <c r="BI104" s="199"/>
      <c r="BJ104" s="199"/>
      <c r="BK104" s="199"/>
      <c r="BL104" s="199"/>
      <c r="BM104" s="199"/>
      <c r="BN104" s="199"/>
      <c r="BO104" s="199"/>
      <c r="BP104" s="199"/>
      <c r="BQ104" s="199"/>
      <c r="BR104" s="199"/>
      <c r="BS104" s="199"/>
      <c r="BT104" s="199"/>
      <c r="BU104" s="199"/>
      <c r="BV104" s="199"/>
      <c r="BW104" s="199"/>
      <c r="BX104" s="199"/>
      <c r="BY104" s="199"/>
      <c r="BZ104" s="199"/>
      <c r="CA104" s="199"/>
      <c r="CB104" s="199"/>
      <c r="CC104" s="199"/>
      <c r="CD104" s="199"/>
      <c r="CE104" s="199"/>
      <c r="CF104" s="199"/>
      <c r="CG104" s="199"/>
      <c r="CH104" s="199"/>
      <c r="CI104" s="199"/>
      <c r="CJ104" s="199"/>
      <c r="CK104" s="199"/>
      <c r="CL104" s="199"/>
      <c r="CM104" s="199"/>
      <c r="CN104" s="199"/>
      <c r="CO104" s="199"/>
      <c r="CP104" s="199"/>
      <c r="CQ104" s="199"/>
      <c r="CR104" s="199"/>
      <c r="CS104" s="199"/>
      <c r="CT104" s="199"/>
    </row>
    <row r="105" spans="19:98" x14ac:dyDescent="0.25">
      <c r="S105" s="199"/>
      <c r="T105" s="199"/>
      <c r="U105" s="199"/>
      <c r="V105" s="199"/>
      <c r="W105" s="199"/>
      <c r="X105" s="199"/>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c r="AW105" s="199"/>
      <c r="AX105" s="199"/>
      <c r="AY105" s="199"/>
      <c r="AZ105" s="199"/>
      <c r="BA105" s="199"/>
      <c r="BB105" s="199"/>
      <c r="BC105" s="199"/>
      <c r="BD105" s="199"/>
      <c r="BE105" s="199"/>
      <c r="BF105" s="199"/>
      <c r="BG105" s="199"/>
      <c r="BH105" s="199"/>
      <c r="BI105" s="199"/>
      <c r="BJ105" s="199"/>
      <c r="BK105" s="199"/>
      <c r="BL105" s="199"/>
      <c r="BM105" s="199"/>
      <c r="BN105" s="199"/>
      <c r="BO105" s="199"/>
      <c r="BP105" s="199"/>
      <c r="BQ105" s="199"/>
      <c r="BR105" s="199"/>
      <c r="BS105" s="199"/>
      <c r="BT105" s="199"/>
      <c r="BU105" s="199"/>
      <c r="BV105" s="199"/>
      <c r="BW105" s="199"/>
      <c r="BX105" s="199"/>
      <c r="BY105" s="199"/>
      <c r="BZ105" s="199"/>
      <c r="CA105" s="199"/>
      <c r="CB105" s="199"/>
      <c r="CC105" s="199"/>
      <c r="CD105" s="199"/>
      <c r="CE105" s="199"/>
      <c r="CF105" s="199"/>
      <c r="CG105" s="199"/>
      <c r="CH105" s="199"/>
      <c r="CI105" s="199"/>
      <c r="CJ105" s="199"/>
      <c r="CK105" s="199"/>
      <c r="CL105" s="199"/>
      <c r="CM105" s="199"/>
      <c r="CN105" s="199"/>
      <c r="CO105" s="199"/>
      <c r="CP105" s="199"/>
      <c r="CQ105" s="199"/>
      <c r="CR105" s="199"/>
      <c r="CS105" s="199"/>
      <c r="CT105" s="199"/>
    </row>
    <row r="106" spans="19:98" x14ac:dyDescent="0.25">
      <c r="S106" s="199"/>
      <c r="T106" s="199"/>
      <c r="U106" s="199"/>
      <c r="V106" s="199"/>
      <c r="W106" s="199"/>
      <c r="X106" s="199"/>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199"/>
      <c r="BE106" s="199"/>
      <c r="BF106" s="199"/>
      <c r="BG106" s="199"/>
      <c r="BH106" s="199"/>
      <c r="BI106" s="199"/>
      <c r="BJ106" s="199"/>
      <c r="BK106" s="199"/>
      <c r="BL106" s="199"/>
      <c r="BM106" s="199"/>
      <c r="BN106" s="199"/>
      <c r="BO106" s="199"/>
      <c r="BP106" s="199"/>
      <c r="BQ106" s="199"/>
      <c r="BR106" s="199"/>
      <c r="BS106" s="199"/>
      <c r="BT106" s="199"/>
      <c r="BU106" s="199"/>
      <c r="BV106" s="199"/>
      <c r="BW106" s="199"/>
      <c r="BX106" s="199"/>
      <c r="BY106" s="199"/>
      <c r="BZ106" s="199"/>
      <c r="CA106" s="199"/>
      <c r="CB106" s="199"/>
      <c r="CC106" s="199"/>
      <c r="CD106" s="199"/>
      <c r="CE106" s="199"/>
      <c r="CF106" s="199"/>
      <c r="CG106" s="199"/>
      <c r="CH106" s="199"/>
      <c r="CI106" s="199"/>
      <c r="CJ106" s="199"/>
      <c r="CK106" s="199"/>
      <c r="CL106" s="199"/>
      <c r="CM106" s="199"/>
      <c r="CN106" s="199"/>
      <c r="CO106" s="199"/>
      <c r="CP106" s="199"/>
      <c r="CQ106" s="199"/>
      <c r="CR106" s="199"/>
      <c r="CS106" s="199"/>
      <c r="CT106" s="199"/>
    </row>
    <row r="107" spans="19:98" x14ac:dyDescent="0.25">
      <c r="S107" s="199"/>
      <c r="T107" s="199"/>
      <c r="U107" s="199"/>
      <c r="V107" s="199"/>
      <c r="W107" s="199"/>
      <c r="X107" s="199"/>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c r="AW107" s="199"/>
      <c r="AX107" s="199"/>
      <c r="AY107" s="199"/>
      <c r="AZ107" s="199"/>
      <c r="BA107" s="199"/>
      <c r="BB107" s="199"/>
      <c r="BC107" s="199"/>
      <c r="BD107" s="199"/>
      <c r="BE107" s="199"/>
      <c r="BF107" s="199"/>
      <c r="BG107" s="199"/>
      <c r="BH107" s="199"/>
      <c r="BI107" s="199"/>
      <c r="BJ107" s="199"/>
      <c r="BK107" s="199"/>
      <c r="BL107" s="199"/>
      <c r="BM107" s="199"/>
      <c r="BN107" s="199"/>
      <c r="BO107" s="199"/>
      <c r="BP107" s="199"/>
      <c r="BQ107" s="199"/>
      <c r="BR107" s="199"/>
      <c r="BS107" s="199"/>
      <c r="BT107" s="199"/>
      <c r="BU107" s="199"/>
      <c r="BV107" s="199"/>
      <c r="BW107" s="199"/>
      <c r="BX107" s="199"/>
      <c r="BY107" s="199"/>
      <c r="BZ107" s="199"/>
      <c r="CA107" s="199"/>
      <c r="CB107" s="199"/>
      <c r="CC107" s="199"/>
      <c r="CD107" s="199"/>
      <c r="CE107" s="199"/>
      <c r="CF107" s="199"/>
      <c r="CG107" s="199"/>
      <c r="CH107" s="199"/>
      <c r="CI107" s="199"/>
      <c r="CJ107" s="199"/>
      <c r="CK107" s="199"/>
      <c r="CL107" s="199"/>
      <c r="CM107" s="199"/>
      <c r="CN107" s="199"/>
      <c r="CO107" s="199"/>
      <c r="CP107" s="199"/>
      <c r="CQ107" s="199"/>
      <c r="CR107" s="199"/>
      <c r="CS107" s="199"/>
      <c r="CT107" s="199"/>
    </row>
    <row r="108" spans="19:98" x14ac:dyDescent="0.25">
      <c r="S108" s="199"/>
      <c r="T108" s="199"/>
      <c r="U108" s="199"/>
      <c r="V108" s="199"/>
      <c r="W108" s="199"/>
      <c r="X108" s="199"/>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c r="AW108" s="199"/>
      <c r="AX108" s="199"/>
      <c r="AY108" s="199"/>
      <c r="AZ108" s="199"/>
      <c r="BA108" s="199"/>
      <c r="BB108" s="199"/>
      <c r="BC108" s="199"/>
      <c r="BD108" s="199"/>
      <c r="BE108" s="199"/>
      <c r="BF108" s="199"/>
      <c r="BG108" s="199"/>
      <c r="BH108" s="199"/>
      <c r="BI108" s="199"/>
      <c r="BJ108" s="199"/>
      <c r="BK108" s="199"/>
      <c r="BL108" s="199"/>
      <c r="BM108" s="199"/>
      <c r="BN108" s="199"/>
      <c r="BO108" s="199"/>
      <c r="BP108" s="199"/>
      <c r="BQ108" s="199"/>
      <c r="BR108" s="199"/>
      <c r="BS108" s="199"/>
      <c r="BT108" s="199"/>
      <c r="BU108" s="199"/>
      <c r="BV108" s="199"/>
      <c r="BW108" s="199"/>
      <c r="BX108" s="199"/>
      <c r="BY108" s="199"/>
      <c r="BZ108" s="199"/>
      <c r="CA108" s="199"/>
      <c r="CB108" s="199"/>
      <c r="CC108" s="199"/>
      <c r="CD108" s="199"/>
      <c r="CE108" s="199"/>
      <c r="CF108" s="199"/>
      <c r="CG108" s="199"/>
      <c r="CH108" s="199"/>
      <c r="CI108" s="199"/>
      <c r="CJ108" s="199"/>
      <c r="CK108" s="199"/>
      <c r="CL108" s="199"/>
      <c r="CM108" s="199"/>
      <c r="CN108" s="199"/>
      <c r="CO108" s="199"/>
      <c r="CP108" s="199"/>
      <c r="CQ108" s="199"/>
      <c r="CR108" s="199"/>
      <c r="CS108" s="199"/>
      <c r="CT108" s="199"/>
    </row>
    <row r="109" spans="19:98" x14ac:dyDescent="0.25">
      <c r="S109" s="199"/>
      <c r="T109" s="199"/>
      <c r="U109" s="199"/>
      <c r="V109" s="199"/>
      <c r="W109" s="199"/>
      <c r="X109" s="199"/>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199"/>
      <c r="BE109" s="199"/>
      <c r="BF109" s="199"/>
      <c r="BG109" s="199"/>
      <c r="BH109" s="199"/>
      <c r="BI109" s="199"/>
      <c r="BJ109" s="199"/>
      <c r="BK109" s="199"/>
      <c r="BL109" s="199"/>
      <c r="BM109" s="199"/>
      <c r="BN109" s="199"/>
      <c r="BO109" s="199"/>
      <c r="BP109" s="199"/>
      <c r="BQ109" s="199"/>
      <c r="BR109" s="199"/>
      <c r="BS109" s="199"/>
      <c r="BT109" s="199"/>
      <c r="BU109" s="199"/>
      <c r="BV109" s="199"/>
      <c r="BW109" s="199"/>
      <c r="BX109" s="199"/>
      <c r="BY109" s="199"/>
      <c r="BZ109" s="199"/>
      <c r="CA109" s="199"/>
      <c r="CB109" s="199"/>
      <c r="CC109" s="199"/>
      <c r="CD109" s="199"/>
      <c r="CE109" s="199"/>
      <c r="CF109" s="199"/>
      <c r="CG109" s="199"/>
      <c r="CH109" s="199"/>
      <c r="CI109" s="199"/>
      <c r="CJ109" s="199"/>
      <c r="CK109" s="199"/>
      <c r="CL109" s="199"/>
      <c r="CM109" s="199"/>
      <c r="CN109" s="199"/>
      <c r="CO109" s="199"/>
      <c r="CP109" s="199"/>
      <c r="CQ109" s="199"/>
      <c r="CR109" s="199"/>
      <c r="CS109" s="199"/>
      <c r="CT109" s="199"/>
    </row>
    <row r="110" spans="19:98" x14ac:dyDescent="0.25">
      <c r="S110" s="199"/>
      <c r="T110" s="199"/>
      <c r="U110" s="199"/>
      <c r="V110" s="199"/>
      <c r="W110" s="199"/>
      <c r="X110" s="199"/>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c r="AW110" s="199"/>
      <c r="AX110" s="199"/>
      <c r="AY110" s="199"/>
      <c r="AZ110" s="199"/>
      <c r="BA110" s="199"/>
      <c r="BB110" s="199"/>
      <c r="BC110" s="199"/>
      <c r="BD110" s="199"/>
      <c r="BE110" s="199"/>
      <c r="BF110" s="199"/>
      <c r="BG110" s="199"/>
      <c r="BH110" s="199"/>
      <c r="BI110" s="199"/>
      <c r="BJ110" s="199"/>
      <c r="BK110" s="199"/>
      <c r="BL110" s="199"/>
      <c r="BM110" s="199"/>
      <c r="BN110" s="199"/>
      <c r="BO110" s="199"/>
      <c r="BP110" s="199"/>
      <c r="BQ110" s="199"/>
      <c r="BR110" s="199"/>
      <c r="BS110" s="199"/>
      <c r="BT110" s="199"/>
      <c r="BU110" s="199"/>
      <c r="BV110" s="199"/>
      <c r="BW110" s="199"/>
      <c r="BX110" s="199"/>
      <c r="BY110" s="199"/>
      <c r="BZ110" s="199"/>
      <c r="CA110" s="199"/>
      <c r="CB110" s="199"/>
      <c r="CC110" s="199"/>
      <c r="CD110" s="199"/>
      <c r="CE110" s="199"/>
      <c r="CF110" s="199"/>
      <c r="CG110" s="199"/>
      <c r="CH110" s="199"/>
      <c r="CI110" s="199"/>
      <c r="CJ110" s="199"/>
      <c r="CK110" s="199"/>
      <c r="CL110" s="199"/>
      <c r="CM110" s="199"/>
      <c r="CN110" s="199"/>
      <c r="CO110" s="199"/>
      <c r="CP110" s="199"/>
      <c r="CQ110" s="199"/>
      <c r="CR110" s="199"/>
      <c r="CS110" s="199"/>
      <c r="CT110" s="199"/>
    </row>
    <row r="111" spans="19:98" x14ac:dyDescent="0.25">
      <c r="S111" s="199"/>
      <c r="T111" s="199"/>
      <c r="U111" s="199"/>
      <c r="V111" s="199"/>
      <c r="W111" s="199"/>
      <c r="X111" s="199"/>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c r="AW111" s="199"/>
      <c r="AX111" s="199"/>
      <c r="AY111" s="199"/>
      <c r="AZ111" s="199"/>
      <c r="BA111" s="199"/>
      <c r="BB111" s="199"/>
      <c r="BC111" s="199"/>
      <c r="BD111" s="199"/>
      <c r="BE111" s="199"/>
      <c r="BF111" s="199"/>
      <c r="BG111" s="199"/>
      <c r="BH111" s="199"/>
      <c r="BI111" s="199"/>
      <c r="BJ111" s="199"/>
      <c r="BK111" s="199"/>
      <c r="BL111" s="199"/>
      <c r="BM111" s="199"/>
      <c r="BN111" s="199"/>
      <c r="BO111" s="199"/>
      <c r="BP111" s="199"/>
      <c r="BQ111" s="199"/>
      <c r="BR111" s="199"/>
      <c r="BS111" s="199"/>
      <c r="BT111" s="199"/>
      <c r="BU111" s="199"/>
      <c r="BV111" s="199"/>
      <c r="BW111" s="199"/>
      <c r="BX111" s="199"/>
      <c r="BY111" s="199"/>
      <c r="BZ111" s="199"/>
      <c r="CA111" s="199"/>
      <c r="CB111" s="199"/>
      <c r="CC111" s="199"/>
      <c r="CD111" s="199"/>
      <c r="CE111" s="199"/>
      <c r="CF111" s="199"/>
      <c r="CG111" s="199"/>
      <c r="CH111" s="199"/>
      <c r="CI111" s="199"/>
      <c r="CJ111" s="199"/>
      <c r="CK111" s="199"/>
      <c r="CL111" s="199"/>
      <c r="CM111" s="199"/>
      <c r="CN111" s="199"/>
      <c r="CO111" s="199"/>
      <c r="CP111" s="199"/>
      <c r="CQ111" s="199"/>
      <c r="CR111" s="199"/>
      <c r="CS111" s="199"/>
      <c r="CT111" s="199"/>
    </row>
    <row r="112" spans="19:98" x14ac:dyDescent="0.25">
      <c r="S112" s="199"/>
      <c r="T112" s="199"/>
      <c r="U112" s="199"/>
      <c r="V112" s="199"/>
      <c r="W112" s="199"/>
      <c r="X112" s="199"/>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c r="AW112" s="199"/>
      <c r="AX112" s="199"/>
      <c r="AY112" s="199"/>
      <c r="AZ112" s="199"/>
      <c r="BA112" s="199"/>
      <c r="BB112" s="199"/>
      <c r="BC112" s="199"/>
      <c r="BD112" s="199"/>
      <c r="BE112" s="199"/>
      <c r="BF112" s="199"/>
      <c r="BG112" s="199"/>
      <c r="BH112" s="199"/>
      <c r="BI112" s="199"/>
      <c r="BJ112" s="199"/>
      <c r="BK112" s="199"/>
      <c r="BL112" s="199"/>
      <c r="BM112" s="199"/>
      <c r="BN112" s="199"/>
      <c r="BO112" s="199"/>
      <c r="BP112" s="199"/>
      <c r="BQ112" s="199"/>
      <c r="BR112" s="199"/>
      <c r="BS112" s="199"/>
      <c r="BT112" s="199"/>
      <c r="BU112" s="199"/>
      <c r="BV112" s="199"/>
      <c r="BW112" s="199"/>
      <c r="BX112" s="199"/>
      <c r="BY112" s="199"/>
      <c r="BZ112" s="199"/>
      <c r="CA112" s="199"/>
      <c r="CB112" s="199"/>
      <c r="CC112" s="199"/>
      <c r="CD112" s="199"/>
      <c r="CE112" s="199"/>
      <c r="CF112" s="199"/>
      <c r="CG112" s="199"/>
      <c r="CH112" s="199"/>
      <c r="CI112" s="199"/>
      <c r="CJ112" s="199"/>
      <c r="CK112" s="199"/>
      <c r="CL112" s="199"/>
      <c r="CM112" s="199"/>
      <c r="CN112" s="199"/>
      <c r="CO112" s="199"/>
      <c r="CP112" s="199"/>
      <c r="CQ112" s="199"/>
      <c r="CR112" s="199"/>
      <c r="CS112" s="199"/>
      <c r="CT112" s="199"/>
    </row>
    <row r="113" spans="19:98" x14ac:dyDescent="0.25">
      <c r="S113" s="199"/>
      <c r="T113" s="199"/>
      <c r="U113" s="199"/>
      <c r="V113" s="199"/>
      <c r="W113" s="199"/>
      <c r="X113" s="199"/>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c r="AW113" s="199"/>
      <c r="AX113" s="199"/>
      <c r="AY113" s="199"/>
      <c r="AZ113" s="199"/>
      <c r="BA113" s="199"/>
      <c r="BB113" s="199"/>
      <c r="BC113" s="199"/>
      <c r="BD113" s="199"/>
      <c r="BE113" s="199"/>
      <c r="BF113" s="199"/>
      <c r="BG113" s="199"/>
      <c r="BH113" s="199"/>
      <c r="BI113" s="199"/>
      <c r="BJ113" s="199"/>
      <c r="BK113" s="199"/>
      <c r="BL113" s="199"/>
      <c r="BM113" s="199"/>
      <c r="BN113" s="199"/>
      <c r="BO113" s="199"/>
      <c r="BP113" s="199"/>
      <c r="BQ113" s="199"/>
      <c r="BR113" s="199"/>
      <c r="BS113" s="199"/>
      <c r="BT113" s="199"/>
      <c r="BU113" s="199"/>
      <c r="BV113" s="199"/>
      <c r="BW113" s="199"/>
      <c r="BX113" s="199"/>
      <c r="BY113" s="199"/>
      <c r="BZ113" s="199"/>
      <c r="CA113" s="199"/>
      <c r="CB113" s="199"/>
      <c r="CC113" s="199"/>
      <c r="CD113" s="199"/>
      <c r="CE113" s="199"/>
      <c r="CF113" s="199"/>
      <c r="CG113" s="199"/>
      <c r="CH113" s="199"/>
      <c r="CI113" s="199"/>
      <c r="CJ113" s="199"/>
      <c r="CK113" s="199"/>
      <c r="CL113" s="199"/>
      <c r="CM113" s="199"/>
      <c r="CN113" s="199"/>
      <c r="CO113" s="199"/>
      <c r="CP113" s="199"/>
      <c r="CQ113" s="199"/>
      <c r="CR113" s="199"/>
      <c r="CS113" s="199"/>
      <c r="CT113" s="199"/>
    </row>
    <row r="114" spans="19:98" x14ac:dyDescent="0.25">
      <c r="S114" s="199"/>
      <c r="T114" s="199"/>
      <c r="U114" s="199"/>
      <c r="V114" s="199"/>
      <c r="W114" s="199"/>
      <c r="X114" s="199"/>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199"/>
      <c r="BE114" s="199"/>
      <c r="BF114" s="199"/>
      <c r="BG114" s="199"/>
      <c r="BH114" s="199"/>
      <c r="BI114" s="199"/>
      <c r="BJ114" s="199"/>
      <c r="BK114" s="199"/>
      <c r="BL114" s="199"/>
      <c r="BM114" s="199"/>
      <c r="BN114" s="199"/>
      <c r="BO114" s="199"/>
      <c r="BP114" s="199"/>
      <c r="BQ114" s="199"/>
      <c r="BR114" s="199"/>
      <c r="BS114" s="199"/>
      <c r="BT114" s="199"/>
      <c r="BU114" s="199"/>
      <c r="BV114" s="199"/>
      <c r="BW114" s="199"/>
      <c r="BX114" s="199"/>
      <c r="BY114" s="199"/>
      <c r="BZ114" s="199"/>
      <c r="CA114" s="199"/>
      <c r="CB114" s="199"/>
      <c r="CC114" s="199"/>
      <c r="CD114" s="199"/>
      <c r="CE114" s="199"/>
      <c r="CF114" s="199"/>
      <c r="CG114" s="199"/>
      <c r="CH114" s="199"/>
      <c r="CI114" s="199"/>
      <c r="CJ114" s="199"/>
      <c r="CK114" s="199"/>
      <c r="CL114" s="199"/>
      <c r="CM114" s="199"/>
      <c r="CN114" s="199"/>
      <c r="CO114" s="199"/>
      <c r="CP114" s="199"/>
      <c r="CQ114" s="199"/>
      <c r="CR114" s="199"/>
      <c r="CS114" s="199"/>
      <c r="CT114" s="199"/>
    </row>
    <row r="115" spans="19:98" x14ac:dyDescent="0.25">
      <c r="S115" s="199"/>
      <c r="T115" s="199"/>
      <c r="U115" s="199"/>
      <c r="V115" s="199"/>
      <c r="W115" s="199"/>
      <c r="X115" s="199"/>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c r="AW115" s="199"/>
      <c r="AX115" s="199"/>
      <c r="AY115" s="199"/>
      <c r="AZ115" s="199"/>
      <c r="BA115" s="199"/>
      <c r="BB115" s="199"/>
      <c r="BC115" s="199"/>
      <c r="BD115" s="199"/>
      <c r="BE115" s="199"/>
      <c r="BF115" s="199"/>
      <c r="BG115" s="199"/>
      <c r="BH115" s="199"/>
      <c r="BI115" s="199"/>
      <c r="BJ115" s="199"/>
      <c r="BK115" s="199"/>
      <c r="BL115" s="199"/>
      <c r="BM115" s="199"/>
      <c r="BN115" s="199"/>
      <c r="BO115" s="199"/>
      <c r="BP115" s="199"/>
      <c r="BQ115" s="199"/>
      <c r="BR115" s="199"/>
      <c r="BS115" s="199"/>
      <c r="BT115" s="199"/>
      <c r="BU115" s="199"/>
      <c r="BV115" s="199"/>
      <c r="BW115" s="199"/>
      <c r="BX115" s="199"/>
      <c r="BY115" s="199"/>
      <c r="BZ115" s="199"/>
      <c r="CA115" s="199"/>
      <c r="CB115" s="199"/>
      <c r="CC115" s="199"/>
      <c r="CD115" s="199"/>
      <c r="CE115" s="199"/>
      <c r="CF115" s="199"/>
      <c r="CG115" s="199"/>
      <c r="CH115" s="199"/>
      <c r="CI115" s="199"/>
      <c r="CJ115" s="199"/>
      <c r="CK115" s="199"/>
      <c r="CL115" s="199"/>
      <c r="CM115" s="199"/>
      <c r="CN115" s="199"/>
      <c r="CO115" s="199"/>
      <c r="CP115" s="199"/>
      <c r="CQ115" s="199"/>
      <c r="CR115" s="199"/>
      <c r="CS115" s="199"/>
      <c r="CT115" s="199"/>
    </row>
    <row r="116" spans="19:98" x14ac:dyDescent="0.25">
      <c r="S116" s="199"/>
      <c r="T116" s="199"/>
      <c r="U116" s="199"/>
      <c r="V116" s="199"/>
      <c r="W116" s="199"/>
      <c r="X116" s="199"/>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c r="AW116" s="199"/>
      <c r="AX116" s="199"/>
      <c r="AY116" s="199"/>
      <c r="AZ116" s="199"/>
      <c r="BA116" s="199"/>
      <c r="BB116" s="199"/>
      <c r="BC116" s="199"/>
      <c r="BD116" s="199"/>
      <c r="BE116" s="199"/>
      <c r="BF116" s="199"/>
      <c r="BG116" s="199"/>
      <c r="BH116" s="199"/>
      <c r="BI116" s="199"/>
      <c r="BJ116" s="199"/>
      <c r="BK116" s="199"/>
      <c r="BL116" s="199"/>
      <c r="BM116" s="199"/>
      <c r="BN116" s="199"/>
      <c r="BO116" s="199"/>
      <c r="BP116" s="199"/>
      <c r="BQ116" s="199"/>
      <c r="BR116" s="199"/>
      <c r="BS116" s="199"/>
      <c r="BT116" s="199"/>
      <c r="BU116" s="199"/>
      <c r="BV116" s="199"/>
      <c r="BW116" s="199"/>
      <c r="BX116" s="199"/>
      <c r="BY116" s="199"/>
      <c r="BZ116" s="199"/>
      <c r="CA116" s="199"/>
      <c r="CB116" s="199"/>
      <c r="CC116" s="199"/>
      <c r="CD116" s="199"/>
      <c r="CE116" s="199"/>
      <c r="CF116" s="199"/>
      <c r="CG116" s="199"/>
      <c r="CH116" s="199"/>
      <c r="CI116" s="199"/>
      <c r="CJ116" s="199"/>
      <c r="CK116" s="199"/>
      <c r="CL116" s="199"/>
      <c r="CM116" s="199"/>
      <c r="CN116" s="199"/>
      <c r="CO116" s="199"/>
      <c r="CP116" s="199"/>
      <c r="CQ116" s="199"/>
      <c r="CR116" s="199"/>
      <c r="CS116" s="199"/>
      <c r="CT116" s="199"/>
    </row>
    <row r="117" spans="19:98" x14ac:dyDescent="0.25">
      <c r="S117" s="199"/>
      <c r="T117" s="199"/>
      <c r="U117" s="199"/>
      <c r="V117" s="199"/>
      <c r="W117" s="199"/>
      <c r="X117" s="199"/>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199"/>
      <c r="BE117" s="199"/>
      <c r="BF117" s="199"/>
      <c r="BG117" s="199"/>
      <c r="BH117" s="199"/>
      <c r="BI117" s="199"/>
      <c r="BJ117" s="199"/>
      <c r="BK117" s="199"/>
      <c r="BL117" s="199"/>
      <c r="BM117" s="199"/>
      <c r="BN117" s="199"/>
      <c r="BO117" s="199"/>
      <c r="BP117" s="199"/>
      <c r="BQ117" s="199"/>
      <c r="BR117" s="199"/>
      <c r="BS117" s="199"/>
      <c r="BT117" s="199"/>
      <c r="BU117" s="199"/>
      <c r="BV117" s="199"/>
      <c r="BW117" s="199"/>
      <c r="BX117" s="199"/>
      <c r="BY117" s="199"/>
      <c r="BZ117" s="199"/>
      <c r="CA117" s="199"/>
      <c r="CB117" s="199"/>
      <c r="CC117" s="199"/>
      <c r="CD117" s="199"/>
      <c r="CE117" s="199"/>
      <c r="CF117" s="199"/>
      <c r="CG117" s="199"/>
      <c r="CH117" s="199"/>
      <c r="CI117" s="199"/>
      <c r="CJ117" s="199"/>
      <c r="CK117" s="199"/>
      <c r="CL117" s="199"/>
      <c r="CM117" s="199"/>
      <c r="CN117" s="199"/>
      <c r="CO117" s="199"/>
      <c r="CP117" s="199"/>
      <c r="CQ117" s="199"/>
      <c r="CR117" s="199"/>
      <c r="CS117" s="199"/>
      <c r="CT117" s="199"/>
    </row>
    <row r="118" spans="19:98" x14ac:dyDescent="0.25">
      <c r="S118" s="199"/>
      <c r="T118" s="199"/>
      <c r="U118" s="199"/>
      <c r="V118" s="199"/>
      <c r="W118" s="199"/>
      <c r="X118" s="199"/>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c r="AW118" s="199"/>
      <c r="AX118" s="199"/>
      <c r="AY118" s="199"/>
      <c r="AZ118" s="199"/>
      <c r="BA118" s="199"/>
      <c r="BB118" s="199"/>
      <c r="BC118" s="199"/>
      <c r="BD118" s="199"/>
      <c r="BE118" s="199"/>
      <c r="BF118" s="199"/>
      <c r="BG118" s="199"/>
      <c r="BH118" s="199"/>
      <c r="BI118" s="199"/>
      <c r="BJ118" s="199"/>
      <c r="BK118" s="199"/>
      <c r="BL118" s="199"/>
      <c r="BM118" s="199"/>
      <c r="BN118" s="199"/>
      <c r="BO118" s="199"/>
      <c r="BP118" s="199"/>
      <c r="BQ118" s="199"/>
      <c r="BR118" s="199"/>
      <c r="BS118" s="199"/>
      <c r="BT118" s="199"/>
      <c r="BU118" s="199"/>
      <c r="BV118" s="199"/>
      <c r="BW118" s="199"/>
      <c r="BX118" s="199"/>
      <c r="BY118" s="199"/>
      <c r="BZ118" s="199"/>
      <c r="CA118" s="199"/>
      <c r="CB118" s="199"/>
      <c r="CC118" s="199"/>
      <c r="CD118" s="199"/>
      <c r="CE118" s="199"/>
      <c r="CF118" s="199"/>
      <c r="CG118" s="199"/>
      <c r="CH118" s="199"/>
      <c r="CI118" s="199"/>
      <c r="CJ118" s="199"/>
      <c r="CK118" s="199"/>
      <c r="CL118" s="199"/>
      <c r="CM118" s="199"/>
      <c r="CN118" s="199"/>
      <c r="CO118" s="199"/>
      <c r="CP118" s="199"/>
      <c r="CQ118" s="199"/>
      <c r="CR118" s="199"/>
      <c r="CS118" s="199"/>
      <c r="CT118" s="199"/>
    </row>
    <row r="119" spans="19:98" x14ac:dyDescent="0.25">
      <c r="S119" s="199"/>
      <c r="T119" s="199"/>
      <c r="U119" s="199"/>
      <c r="V119" s="199"/>
      <c r="W119" s="199"/>
      <c r="X119" s="199"/>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c r="AW119" s="199"/>
      <c r="AX119" s="199"/>
      <c r="AY119" s="199"/>
      <c r="AZ119" s="199"/>
      <c r="BA119" s="199"/>
      <c r="BB119" s="199"/>
      <c r="BC119" s="199"/>
      <c r="BD119" s="199"/>
      <c r="BE119" s="199"/>
      <c r="BF119" s="199"/>
      <c r="BG119" s="199"/>
      <c r="BH119" s="199"/>
      <c r="BI119" s="199"/>
      <c r="BJ119" s="199"/>
      <c r="BK119" s="199"/>
      <c r="BL119" s="199"/>
      <c r="BM119" s="199"/>
      <c r="BN119" s="199"/>
      <c r="BO119" s="199"/>
      <c r="BP119" s="199"/>
      <c r="BQ119" s="199"/>
      <c r="BR119" s="199"/>
      <c r="BS119" s="199"/>
      <c r="BT119" s="199"/>
      <c r="BU119" s="199"/>
      <c r="BV119" s="199"/>
      <c r="BW119" s="199"/>
      <c r="BX119" s="199"/>
      <c r="BY119" s="199"/>
      <c r="BZ119" s="199"/>
      <c r="CA119" s="199"/>
      <c r="CB119" s="199"/>
      <c r="CC119" s="199"/>
      <c r="CD119" s="199"/>
      <c r="CE119" s="199"/>
      <c r="CF119" s="199"/>
      <c r="CG119" s="199"/>
      <c r="CH119" s="199"/>
      <c r="CI119" s="199"/>
      <c r="CJ119" s="199"/>
      <c r="CK119" s="199"/>
      <c r="CL119" s="199"/>
      <c r="CM119" s="199"/>
      <c r="CN119" s="199"/>
      <c r="CO119" s="199"/>
      <c r="CP119" s="199"/>
      <c r="CQ119" s="199"/>
      <c r="CR119" s="199"/>
      <c r="CS119" s="199"/>
      <c r="CT119" s="199"/>
    </row>
    <row r="120" spans="19:98" x14ac:dyDescent="0.25">
      <c r="S120" s="199"/>
      <c r="T120" s="199"/>
      <c r="U120" s="199"/>
      <c r="V120" s="199"/>
      <c r="W120" s="199"/>
      <c r="X120" s="199"/>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199"/>
      <c r="BE120" s="199"/>
      <c r="BF120" s="199"/>
      <c r="BG120" s="199"/>
      <c r="BH120" s="199"/>
      <c r="BI120" s="199"/>
      <c r="BJ120" s="199"/>
      <c r="BK120" s="199"/>
      <c r="BL120" s="199"/>
      <c r="BM120" s="199"/>
      <c r="BN120" s="199"/>
      <c r="BO120" s="199"/>
      <c r="BP120" s="199"/>
      <c r="BQ120" s="199"/>
      <c r="BR120" s="199"/>
      <c r="BS120" s="199"/>
      <c r="BT120" s="199"/>
      <c r="BU120" s="199"/>
      <c r="BV120" s="199"/>
      <c r="BW120" s="199"/>
      <c r="BX120" s="199"/>
      <c r="BY120" s="199"/>
      <c r="BZ120" s="199"/>
      <c r="CA120" s="199"/>
      <c r="CB120" s="199"/>
      <c r="CC120" s="199"/>
      <c r="CD120" s="199"/>
      <c r="CE120" s="199"/>
      <c r="CF120" s="199"/>
      <c r="CG120" s="199"/>
      <c r="CH120" s="199"/>
      <c r="CI120" s="199"/>
      <c r="CJ120" s="199"/>
      <c r="CK120" s="199"/>
      <c r="CL120" s="199"/>
      <c r="CM120" s="199"/>
      <c r="CN120" s="199"/>
      <c r="CO120" s="199"/>
      <c r="CP120" s="199"/>
      <c r="CQ120" s="199"/>
      <c r="CR120" s="199"/>
      <c r="CS120" s="199"/>
      <c r="CT120" s="199"/>
    </row>
    <row r="121" spans="19:98" x14ac:dyDescent="0.25">
      <c r="S121" s="199"/>
      <c r="T121" s="199"/>
      <c r="U121" s="199"/>
      <c r="V121" s="199"/>
      <c r="W121" s="199"/>
      <c r="X121" s="199"/>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E121" s="199"/>
      <c r="BF121" s="199"/>
      <c r="BG121" s="199"/>
      <c r="BH121" s="199"/>
      <c r="BI121" s="199"/>
      <c r="BJ121" s="199"/>
      <c r="BK121" s="199"/>
      <c r="BL121" s="199"/>
      <c r="BM121" s="199"/>
      <c r="BN121" s="199"/>
      <c r="BO121" s="199"/>
      <c r="BP121" s="199"/>
      <c r="BQ121" s="199"/>
      <c r="BR121" s="199"/>
      <c r="BS121" s="199"/>
      <c r="BT121" s="199"/>
      <c r="BU121" s="199"/>
      <c r="BV121" s="199"/>
      <c r="BW121" s="199"/>
      <c r="BX121" s="199"/>
      <c r="BY121" s="199"/>
      <c r="BZ121" s="199"/>
      <c r="CA121" s="199"/>
      <c r="CB121" s="199"/>
      <c r="CC121" s="199"/>
      <c r="CD121" s="199"/>
      <c r="CE121" s="199"/>
      <c r="CF121" s="199"/>
      <c r="CG121" s="199"/>
      <c r="CH121" s="199"/>
      <c r="CI121" s="199"/>
      <c r="CJ121" s="199"/>
      <c r="CK121" s="199"/>
      <c r="CL121" s="199"/>
      <c r="CM121" s="199"/>
      <c r="CN121" s="199"/>
      <c r="CO121" s="199"/>
      <c r="CP121" s="199"/>
      <c r="CQ121" s="199"/>
      <c r="CR121" s="199"/>
      <c r="CS121" s="199"/>
      <c r="CT121" s="199"/>
    </row>
    <row r="122" spans="19:98" x14ac:dyDescent="0.25">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199"/>
      <c r="BP122" s="199"/>
      <c r="BQ122" s="199"/>
      <c r="BR122" s="199"/>
      <c r="BS122" s="199"/>
      <c r="BT122" s="199"/>
      <c r="BU122" s="199"/>
      <c r="BV122" s="199"/>
      <c r="BW122" s="199"/>
      <c r="BX122" s="199"/>
      <c r="BY122" s="199"/>
      <c r="BZ122" s="199"/>
      <c r="CA122" s="199"/>
      <c r="CB122" s="199"/>
      <c r="CC122" s="199"/>
      <c r="CD122" s="199"/>
      <c r="CE122" s="199"/>
      <c r="CF122" s="199"/>
      <c r="CG122" s="199"/>
      <c r="CH122" s="199"/>
      <c r="CI122" s="199"/>
      <c r="CJ122" s="199"/>
      <c r="CK122" s="199"/>
      <c r="CL122" s="199"/>
      <c r="CM122" s="199"/>
      <c r="CN122" s="199"/>
      <c r="CO122" s="199"/>
      <c r="CP122" s="199"/>
      <c r="CQ122" s="199"/>
      <c r="CR122" s="199"/>
      <c r="CS122" s="199"/>
      <c r="CT122" s="199"/>
    </row>
    <row r="123" spans="19:98" x14ac:dyDescent="0.25">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199"/>
      <c r="BP123" s="199"/>
      <c r="BQ123" s="199"/>
      <c r="BR123" s="199"/>
      <c r="BS123" s="199"/>
      <c r="BT123" s="199"/>
      <c r="BU123" s="199"/>
      <c r="BV123" s="199"/>
      <c r="BW123" s="199"/>
      <c r="BX123" s="199"/>
      <c r="BY123" s="199"/>
      <c r="BZ123" s="199"/>
      <c r="CA123" s="199"/>
      <c r="CB123" s="199"/>
      <c r="CC123" s="199"/>
      <c r="CD123" s="199"/>
      <c r="CE123" s="199"/>
      <c r="CF123" s="199"/>
      <c r="CG123" s="199"/>
      <c r="CH123" s="199"/>
      <c r="CI123" s="199"/>
      <c r="CJ123" s="199"/>
      <c r="CK123" s="199"/>
      <c r="CL123" s="199"/>
      <c r="CM123" s="199"/>
      <c r="CN123" s="199"/>
      <c r="CO123" s="199"/>
      <c r="CP123" s="199"/>
      <c r="CQ123" s="199"/>
      <c r="CR123" s="199"/>
      <c r="CS123" s="199"/>
      <c r="CT123" s="199"/>
    </row>
    <row r="124" spans="19:98" x14ac:dyDescent="0.25">
      <c r="S124" s="199"/>
      <c r="T124" s="199"/>
      <c r="U124" s="199"/>
      <c r="V124" s="199"/>
      <c r="W124" s="199"/>
      <c r="X124" s="199"/>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c r="AW124" s="199"/>
      <c r="AX124" s="199"/>
      <c r="AY124" s="199"/>
      <c r="AZ124" s="199"/>
      <c r="BA124" s="199"/>
      <c r="BB124" s="199"/>
      <c r="BC124" s="199"/>
      <c r="BD124" s="199"/>
      <c r="BE124" s="199"/>
      <c r="BF124" s="199"/>
      <c r="BG124" s="199"/>
      <c r="BH124" s="199"/>
      <c r="BI124" s="199"/>
      <c r="BJ124" s="199"/>
      <c r="BK124" s="199"/>
      <c r="BL124" s="199"/>
      <c r="BM124" s="199"/>
      <c r="BN124" s="199"/>
      <c r="BO124" s="199"/>
      <c r="BP124" s="199"/>
      <c r="BQ124" s="199"/>
      <c r="BR124" s="199"/>
      <c r="BS124" s="199"/>
      <c r="BT124" s="199"/>
      <c r="BU124" s="199"/>
      <c r="BV124" s="199"/>
      <c r="BW124" s="199"/>
      <c r="BX124" s="199"/>
      <c r="BY124" s="199"/>
      <c r="BZ124" s="199"/>
      <c r="CA124" s="199"/>
      <c r="CB124" s="199"/>
      <c r="CC124" s="199"/>
      <c r="CD124" s="199"/>
      <c r="CE124" s="199"/>
      <c r="CF124" s="199"/>
      <c r="CG124" s="199"/>
      <c r="CH124" s="199"/>
      <c r="CI124" s="199"/>
      <c r="CJ124" s="199"/>
      <c r="CK124" s="199"/>
      <c r="CL124" s="199"/>
      <c r="CM124" s="199"/>
      <c r="CN124" s="199"/>
      <c r="CO124" s="199"/>
      <c r="CP124" s="199"/>
      <c r="CQ124" s="199"/>
      <c r="CR124" s="199"/>
      <c r="CS124" s="199"/>
      <c r="CT124" s="199"/>
    </row>
    <row r="125" spans="19:98" x14ac:dyDescent="0.25">
      <c r="S125" s="199"/>
      <c r="T125" s="199"/>
      <c r="U125" s="199"/>
      <c r="V125" s="199"/>
      <c r="W125" s="199"/>
      <c r="X125" s="199"/>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c r="AW125" s="199"/>
      <c r="AX125" s="199"/>
      <c r="AY125" s="199"/>
      <c r="AZ125" s="199"/>
      <c r="BA125" s="199"/>
      <c r="BB125" s="199"/>
      <c r="BC125" s="199"/>
      <c r="BD125" s="199"/>
      <c r="BE125" s="199"/>
      <c r="BF125" s="199"/>
      <c r="BG125" s="199"/>
      <c r="BH125" s="199"/>
      <c r="BI125" s="199"/>
      <c r="BJ125" s="199"/>
      <c r="BK125" s="199"/>
      <c r="BL125" s="199"/>
      <c r="BM125" s="199"/>
      <c r="BN125" s="199"/>
      <c r="BO125" s="199"/>
      <c r="BP125" s="199"/>
      <c r="BQ125" s="199"/>
      <c r="BR125" s="199"/>
      <c r="BS125" s="199"/>
      <c r="BT125" s="199"/>
      <c r="BU125" s="199"/>
      <c r="BV125" s="199"/>
      <c r="BW125" s="199"/>
      <c r="BX125" s="199"/>
      <c r="BY125" s="199"/>
      <c r="BZ125" s="199"/>
      <c r="CA125" s="199"/>
      <c r="CB125" s="199"/>
      <c r="CC125" s="199"/>
      <c r="CD125" s="199"/>
      <c r="CE125" s="199"/>
      <c r="CF125" s="199"/>
      <c r="CG125" s="199"/>
      <c r="CH125" s="199"/>
      <c r="CI125" s="199"/>
      <c r="CJ125" s="199"/>
      <c r="CK125" s="199"/>
      <c r="CL125" s="199"/>
      <c r="CM125" s="199"/>
      <c r="CN125" s="199"/>
      <c r="CO125" s="199"/>
      <c r="CP125" s="199"/>
      <c r="CQ125" s="199"/>
      <c r="CR125" s="199"/>
      <c r="CS125" s="199"/>
      <c r="CT125" s="199"/>
    </row>
    <row r="126" spans="19:98" x14ac:dyDescent="0.25">
      <c r="S126" s="199"/>
      <c r="T126" s="199"/>
      <c r="U126" s="199"/>
      <c r="V126" s="199"/>
      <c r="W126" s="199"/>
      <c r="X126" s="199"/>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199"/>
      <c r="BP126" s="199"/>
      <c r="BQ126" s="199"/>
      <c r="BR126" s="199"/>
      <c r="BS126" s="199"/>
      <c r="BT126" s="199"/>
      <c r="BU126" s="199"/>
      <c r="BV126" s="199"/>
      <c r="BW126" s="199"/>
      <c r="BX126" s="199"/>
      <c r="BY126" s="199"/>
      <c r="BZ126" s="199"/>
      <c r="CA126" s="199"/>
      <c r="CB126" s="199"/>
      <c r="CC126" s="199"/>
      <c r="CD126" s="199"/>
      <c r="CE126" s="199"/>
      <c r="CF126" s="199"/>
      <c r="CG126" s="199"/>
      <c r="CH126" s="199"/>
      <c r="CI126" s="199"/>
      <c r="CJ126" s="199"/>
      <c r="CK126" s="199"/>
      <c r="CL126" s="199"/>
      <c r="CM126" s="199"/>
      <c r="CN126" s="199"/>
      <c r="CO126" s="199"/>
      <c r="CP126" s="199"/>
      <c r="CQ126" s="199"/>
      <c r="CR126" s="199"/>
      <c r="CS126" s="199"/>
      <c r="CT126" s="199"/>
    </row>
    <row r="127" spans="19:98" x14ac:dyDescent="0.25">
      <c r="S127" s="199"/>
      <c r="T127" s="199"/>
      <c r="U127" s="199"/>
      <c r="V127" s="199"/>
      <c r="W127" s="199"/>
      <c r="X127" s="199"/>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199"/>
      <c r="BP127" s="199"/>
      <c r="BQ127" s="199"/>
      <c r="BR127" s="199"/>
      <c r="BS127" s="199"/>
      <c r="BT127" s="199"/>
      <c r="BU127" s="199"/>
      <c r="BV127" s="199"/>
      <c r="BW127" s="199"/>
      <c r="BX127" s="199"/>
      <c r="BY127" s="199"/>
      <c r="BZ127" s="199"/>
      <c r="CA127" s="199"/>
      <c r="CB127" s="199"/>
      <c r="CC127" s="199"/>
      <c r="CD127" s="199"/>
      <c r="CE127" s="199"/>
      <c r="CF127" s="199"/>
      <c r="CG127" s="199"/>
      <c r="CH127" s="199"/>
      <c r="CI127" s="199"/>
      <c r="CJ127" s="199"/>
      <c r="CK127" s="199"/>
      <c r="CL127" s="199"/>
      <c r="CM127" s="199"/>
      <c r="CN127" s="199"/>
      <c r="CO127" s="199"/>
      <c r="CP127" s="199"/>
      <c r="CQ127" s="199"/>
      <c r="CR127" s="199"/>
      <c r="CS127" s="199"/>
      <c r="CT127" s="199"/>
    </row>
    <row r="128" spans="19:98" x14ac:dyDescent="0.25">
      <c r="S128" s="199"/>
      <c r="T128" s="199"/>
      <c r="U128" s="199"/>
      <c r="V128" s="199"/>
      <c r="W128" s="199"/>
      <c r="X128" s="199"/>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c r="BS128" s="199"/>
      <c r="BT128" s="199"/>
      <c r="BU128" s="199"/>
      <c r="BV128" s="199"/>
      <c r="BW128" s="199"/>
      <c r="BX128" s="199"/>
      <c r="BY128" s="199"/>
      <c r="BZ128" s="199"/>
      <c r="CA128" s="199"/>
      <c r="CB128" s="199"/>
      <c r="CC128" s="199"/>
      <c r="CD128" s="199"/>
      <c r="CE128" s="199"/>
      <c r="CF128" s="199"/>
      <c r="CG128" s="199"/>
      <c r="CH128" s="199"/>
      <c r="CI128" s="199"/>
      <c r="CJ128" s="199"/>
      <c r="CK128" s="199"/>
      <c r="CL128" s="199"/>
      <c r="CM128" s="199"/>
      <c r="CN128" s="199"/>
      <c r="CO128" s="199"/>
      <c r="CP128" s="199"/>
      <c r="CQ128" s="199"/>
      <c r="CR128" s="199"/>
      <c r="CS128" s="199"/>
      <c r="CT128" s="199"/>
    </row>
    <row r="129" spans="19:98" x14ac:dyDescent="0.25">
      <c r="S129" s="199"/>
      <c r="T129" s="199"/>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c r="BS129" s="199"/>
      <c r="BT129" s="199"/>
      <c r="BU129" s="199"/>
      <c r="BV129" s="199"/>
      <c r="BW129" s="199"/>
      <c r="BX129" s="199"/>
      <c r="BY129" s="199"/>
      <c r="BZ129" s="199"/>
      <c r="CA129" s="199"/>
      <c r="CB129" s="199"/>
      <c r="CC129" s="199"/>
      <c r="CD129" s="199"/>
      <c r="CE129" s="199"/>
      <c r="CF129" s="199"/>
      <c r="CG129" s="199"/>
      <c r="CH129" s="199"/>
      <c r="CI129" s="199"/>
      <c r="CJ129" s="199"/>
      <c r="CK129" s="199"/>
      <c r="CL129" s="199"/>
      <c r="CM129" s="199"/>
      <c r="CN129" s="199"/>
      <c r="CO129" s="199"/>
      <c r="CP129" s="199"/>
      <c r="CQ129" s="199"/>
      <c r="CR129" s="199"/>
      <c r="CS129" s="199"/>
      <c r="CT129" s="199"/>
    </row>
    <row r="130" spans="19:98" x14ac:dyDescent="0.25">
      <c r="S130" s="199"/>
      <c r="T130" s="199"/>
      <c r="U130" s="199"/>
      <c r="V130" s="199"/>
      <c r="W130" s="199"/>
      <c r="X130" s="199"/>
      <c r="Y130" s="199"/>
      <c r="Z130" s="199"/>
      <c r="AA130" s="199"/>
      <c r="AB130" s="199"/>
      <c r="AC130" s="199"/>
      <c r="AD130" s="199"/>
      <c r="AE130" s="199"/>
      <c r="AF130" s="199"/>
      <c r="AG130" s="199"/>
      <c r="AH130" s="199"/>
      <c r="AI130" s="199"/>
      <c r="AJ130" s="199"/>
      <c r="AK130" s="199"/>
      <c r="AL130" s="199"/>
      <c r="AM130" s="199"/>
      <c r="AN130" s="199"/>
      <c r="AO130" s="199"/>
      <c r="AP130" s="199"/>
      <c r="AQ130" s="199"/>
      <c r="AR130" s="199"/>
      <c r="AS130" s="199"/>
      <c r="AT130" s="199"/>
      <c r="AU130" s="199"/>
      <c r="AV130" s="199"/>
      <c r="AW130" s="199"/>
      <c r="AX130" s="199"/>
      <c r="AY130" s="199"/>
      <c r="AZ130" s="199"/>
      <c r="BA130" s="199"/>
      <c r="BB130" s="199"/>
      <c r="BC130" s="199"/>
      <c r="BD130" s="199"/>
      <c r="BE130" s="199"/>
      <c r="BF130" s="199"/>
      <c r="BG130" s="199"/>
      <c r="BH130" s="199"/>
      <c r="BI130" s="199"/>
      <c r="BJ130" s="199"/>
      <c r="BK130" s="199"/>
      <c r="BL130" s="199"/>
      <c r="BM130" s="199"/>
      <c r="BN130" s="199"/>
      <c r="BO130" s="199"/>
      <c r="BP130" s="199"/>
      <c r="BQ130" s="199"/>
      <c r="BR130" s="199"/>
      <c r="BS130" s="199"/>
      <c r="BT130" s="199"/>
      <c r="BU130" s="199"/>
      <c r="BV130" s="199"/>
      <c r="BW130" s="199"/>
      <c r="BX130" s="199"/>
      <c r="BY130" s="199"/>
      <c r="BZ130" s="199"/>
      <c r="CA130" s="199"/>
      <c r="CB130" s="199"/>
      <c r="CC130" s="199"/>
      <c r="CD130" s="199"/>
      <c r="CE130" s="199"/>
      <c r="CF130" s="199"/>
      <c r="CG130" s="199"/>
      <c r="CH130" s="199"/>
      <c r="CI130" s="199"/>
      <c r="CJ130" s="199"/>
      <c r="CK130" s="199"/>
      <c r="CL130" s="199"/>
      <c r="CM130" s="199"/>
      <c r="CN130" s="199"/>
      <c r="CO130" s="199"/>
      <c r="CP130" s="199"/>
      <c r="CQ130" s="199"/>
      <c r="CR130" s="199"/>
      <c r="CS130" s="199"/>
      <c r="CT130" s="199"/>
    </row>
    <row r="131" spans="19:98" x14ac:dyDescent="0.25">
      <c r="S131" s="199"/>
      <c r="T131" s="199"/>
      <c r="U131" s="199"/>
      <c r="V131" s="199"/>
      <c r="W131" s="199"/>
      <c r="X131" s="199"/>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c r="AW131" s="199"/>
      <c r="AX131" s="199"/>
      <c r="AY131" s="199"/>
      <c r="AZ131" s="199"/>
      <c r="BA131" s="199"/>
      <c r="BB131" s="199"/>
      <c r="BC131" s="199"/>
      <c r="BD131" s="199"/>
      <c r="BE131" s="199"/>
      <c r="BF131" s="199"/>
      <c r="BG131" s="199"/>
      <c r="BH131" s="199"/>
      <c r="BI131" s="199"/>
      <c r="BJ131" s="199"/>
      <c r="BK131" s="199"/>
      <c r="BL131" s="199"/>
      <c r="BM131" s="199"/>
      <c r="BN131" s="199"/>
      <c r="BO131" s="199"/>
      <c r="BP131" s="199"/>
      <c r="BQ131" s="199"/>
      <c r="BR131" s="199"/>
      <c r="BS131" s="199"/>
      <c r="BT131" s="199"/>
      <c r="BU131" s="199"/>
      <c r="BV131" s="199"/>
      <c r="BW131" s="199"/>
      <c r="BX131" s="199"/>
      <c r="BY131" s="199"/>
      <c r="BZ131" s="199"/>
      <c r="CA131" s="199"/>
      <c r="CB131" s="199"/>
      <c r="CC131" s="199"/>
      <c r="CD131" s="199"/>
      <c r="CE131" s="199"/>
      <c r="CF131" s="199"/>
      <c r="CG131" s="199"/>
      <c r="CH131" s="199"/>
      <c r="CI131" s="199"/>
      <c r="CJ131" s="199"/>
      <c r="CK131" s="199"/>
      <c r="CL131" s="199"/>
      <c r="CM131" s="199"/>
      <c r="CN131" s="199"/>
      <c r="CO131" s="199"/>
      <c r="CP131" s="199"/>
      <c r="CQ131" s="199"/>
      <c r="CR131" s="199"/>
      <c r="CS131" s="199"/>
      <c r="CT131" s="199"/>
    </row>
    <row r="132" spans="19:98" x14ac:dyDescent="0.25">
      <c r="S132" s="199"/>
      <c r="T132" s="199"/>
      <c r="U132" s="199"/>
      <c r="V132" s="199"/>
      <c r="W132" s="199"/>
      <c r="X132" s="199"/>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c r="AW132" s="199"/>
      <c r="AX132" s="199"/>
      <c r="AY132" s="199"/>
      <c r="AZ132" s="199"/>
      <c r="BA132" s="199"/>
      <c r="BB132" s="199"/>
      <c r="BC132" s="199"/>
      <c r="BD132" s="199"/>
      <c r="BE132" s="199"/>
      <c r="BF132" s="199"/>
      <c r="BG132" s="199"/>
      <c r="BH132" s="199"/>
      <c r="BI132" s="199"/>
      <c r="BJ132" s="199"/>
      <c r="BK132" s="199"/>
      <c r="BL132" s="199"/>
      <c r="BM132" s="199"/>
      <c r="BN132" s="199"/>
      <c r="BO132" s="199"/>
      <c r="BP132" s="199"/>
      <c r="BQ132" s="199"/>
      <c r="BR132" s="199"/>
      <c r="BS132" s="199"/>
      <c r="BT132" s="199"/>
      <c r="BU132" s="199"/>
      <c r="BV132" s="199"/>
      <c r="BW132" s="199"/>
      <c r="BX132" s="199"/>
      <c r="BY132" s="199"/>
      <c r="BZ132" s="199"/>
      <c r="CA132" s="199"/>
      <c r="CB132" s="199"/>
      <c r="CC132" s="199"/>
      <c r="CD132" s="199"/>
      <c r="CE132" s="199"/>
      <c r="CF132" s="199"/>
      <c r="CG132" s="199"/>
      <c r="CH132" s="199"/>
      <c r="CI132" s="199"/>
      <c r="CJ132" s="199"/>
      <c r="CK132" s="199"/>
      <c r="CL132" s="199"/>
      <c r="CM132" s="199"/>
      <c r="CN132" s="199"/>
      <c r="CO132" s="199"/>
      <c r="CP132" s="199"/>
      <c r="CQ132" s="199"/>
      <c r="CR132" s="199"/>
      <c r="CS132" s="199"/>
      <c r="CT132" s="199"/>
    </row>
    <row r="133" spans="19:98" x14ac:dyDescent="0.25">
      <c r="S133" s="199"/>
      <c r="T133" s="199"/>
      <c r="U133" s="199"/>
      <c r="V133" s="199"/>
      <c r="W133" s="199"/>
      <c r="X133" s="199"/>
      <c r="Y133" s="199"/>
      <c r="Z133" s="199"/>
      <c r="AA133" s="199"/>
      <c r="AB133" s="199"/>
      <c r="AC133" s="199"/>
      <c r="AD133" s="199"/>
      <c r="AE133" s="199"/>
      <c r="AF133" s="199"/>
      <c r="AG133" s="199"/>
      <c r="AH133" s="199"/>
      <c r="AI133" s="199"/>
      <c r="AJ133" s="199"/>
      <c r="AK133" s="199"/>
      <c r="AL133" s="199"/>
      <c r="AM133" s="199"/>
      <c r="AN133" s="199"/>
      <c r="AO133" s="199"/>
      <c r="AP133" s="199"/>
      <c r="AQ133" s="199"/>
      <c r="AR133" s="199"/>
      <c r="AS133" s="199"/>
      <c r="AT133" s="199"/>
      <c r="AU133" s="199"/>
      <c r="AV133" s="199"/>
      <c r="AW133" s="199"/>
      <c r="AX133" s="199"/>
      <c r="AY133" s="199"/>
      <c r="AZ133" s="199"/>
      <c r="BA133" s="199"/>
      <c r="BB133" s="199"/>
      <c r="BC133" s="199"/>
      <c r="BD133" s="199"/>
      <c r="BE133" s="199"/>
      <c r="BF133" s="199"/>
      <c r="BG133" s="199"/>
      <c r="BH133" s="199"/>
      <c r="BI133" s="199"/>
      <c r="BJ133" s="199"/>
      <c r="BK133" s="199"/>
      <c r="BL133" s="199"/>
      <c r="BM133" s="199"/>
      <c r="BN133" s="199"/>
      <c r="BO133" s="199"/>
      <c r="BP133" s="199"/>
      <c r="BQ133" s="199"/>
      <c r="BR133" s="199"/>
      <c r="BS133" s="199"/>
      <c r="BT133" s="199"/>
      <c r="BU133" s="199"/>
      <c r="BV133" s="199"/>
      <c r="BW133" s="199"/>
      <c r="BX133" s="199"/>
      <c r="BY133" s="199"/>
      <c r="BZ133" s="199"/>
      <c r="CA133" s="199"/>
      <c r="CB133" s="199"/>
      <c r="CC133" s="199"/>
      <c r="CD133" s="199"/>
      <c r="CE133" s="199"/>
      <c r="CF133" s="199"/>
      <c r="CG133" s="199"/>
      <c r="CH133" s="199"/>
      <c r="CI133" s="199"/>
      <c r="CJ133" s="199"/>
      <c r="CK133" s="199"/>
      <c r="CL133" s="199"/>
      <c r="CM133" s="199"/>
      <c r="CN133" s="199"/>
      <c r="CO133" s="199"/>
      <c r="CP133" s="199"/>
      <c r="CQ133" s="199"/>
      <c r="CR133" s="199"/>
      <c r="CS133" s="199"/>
      <c r="CT133" s="199"/>
    </row>
    <row r="134" spans="19:98" x14ac:dyDescent="0.25">
      <c r="S134" s="199"/>
      <c r="T134" s="199"/>
      <c r="U134" s="199"/>
      <c r="V134" s="199"/>
      <c r="W134" s="199"/>
      <c r="X134" s="199"/>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199"/>
      <c r="AW134" s="199"/>
      <c r="AX134" s="199"/>
      <c r="AY134" s="199"/>
      <c r="AZ134" s="199"/>
      <c r="BA134" s="199"/>
      <c r="BB134" s="199"/>
      <c r="BC134" s="199"/>
      <c r="BD134" s="199"/>
      <c r="BE134" s="199"/>
      <c r="BF134" s="199"/>
      <c r="BG134" s="199"/>
      <c r="BH134" s="199"/>
      <c r="BI134" s="199"/>
      <c r="BJ134" s="199"/>
      <c r="BK134" s="199"/>
      <c r="BL134" s="199"/>
      <c r="BM134" s="199"/>
      <c r="BN134" s="199"/>
      <c r="BO134" s="199"/>
      <c r="BP134" s="199"/>
      <c r="BQ134" s="199"/>
      <c r="BR134" s="199"/>
      <c r="BS134" s="199"/>
      <c r="BT134" s="199"/>
      <c r="BU134" s="199"/>
      <c r="BV134" s="199"/>
      <c r="BW134" s="199"/>
      <c r="BX134" s="199"/>
      <c r="BY134" s="199"/>
      <c r="BZ134" s="199"/>
      <c r="CA134" s="199"/>
      <c r="CB134" s="199"/>
      <c r="CC134" s="199"/>
      <c r="CD134" s="199"/>
      <c r="CE134" s="199"/>
      <c r="CF134" s="199"/>
      <c r="CG134" s="199"/>
      <c r="CH134" s="199"/>
      <c r="CI134" s="199"/>
      <c r="CJ134" s="199"/>
      <c r="CK134" s="199"/>
      <c r="CL134" s="199"/>
      <c r="CM134" s="199"/>
      <c r="CN134" s="199"/>
      <c r="CO134" s="199"/>
      <c r="CP134" s="199"/>
      <c r="CQ134" s="199"/>
      <c r="CR134" s="199"/>
      <c r="CS134" s="199"/>
      <c r="CT134" s="199"/>
    </row>
    <row r="135" spans="19:98" x14ac:dyDescent="0.25">
      <c r="S135" s="199"/>
      <c r="T135" s="199"/>
      <c r="U135" s="199"/>
      <c r="V135" s="199"/>
      <c r="W135" s="199"/>
      <c r="X135" s="199"/>
      <c r="Y135" s="199"/>
      <c r="Z135" s="199"/>
      <c r="AA135" s="199"/>
      <c r="AB135" s="199"/>
      <c r="AC135" s="199"/>
      <c r="AD135" s="199"/>
      <c r="AE135" s="199"/>
      <c r="AF135" s="199"/>
      <c r="AG135" s="199"/>
      <c r="AH135" s="199"/>
      <c r="AI135" s="199"/>
      <c r="AJ135" s="199"/>
      <c r="AK135" s="199"/>
      <c r="AL135" s="199"/>
      <c r="AM135" s="199"/>
      <c r="AN135" s="199"/>
      <c r="AO135" s="199"/>
      <c r="AP135" s="199"/>
      <c r="AQ135" s="199"/>
      <c r="AR135" s="199"/>
      <c r="AS135" s="199"/>
      <c r="AT135" s="199"/>
      <c r="AU135" s="199"/>
      <c r="AV135" s="199"/>
      <c r="AW135" s="199"/>
      <c r="AX135" s="199"/>
      <c r="AY135" s="199"/>
      <c r="AZ135" s="199"/>
      <c r="BA135" s="199"/>
      <c r="BB135" s="199"/>
      <c r="BC135" s="199"/>
      <c r="BD135" s="199"/>
      <c r="BE135" s="199"/>
      <c r="BF135" s="199"/>
      <c r="BG135" s="199"/>
      <c r="BH135" s="199"/>
      <c r="BI135" s="199"/>
      <c r="BJ135" s="199"/>
      <c r="BK135" s="199"/>
      <c r="BL135" s="199"/>
      <c r="BM135" s="199"/>
      <c r="BN135" s="199"/>
      <c r="BO135" s="199"/>
      <c r="BP135" s="199"/>
      <c r="BQ135" s="199"/>
      <c r="BR135" s="199"/>
      <c r="BS135" s="199"/>
      <c r="BT135" s="199"/>
      <c r="BU135" s="199"/>
      <c r="BV135" s="199"/>
      <c r="BW135" s="199"/>
      <c r="BX135" s="199"/>
      <c r="BY135" s="199"/>
      <c r="BZ135" s="199"/>
      <c r="CA135" s="199"/>
      <c r="CB135" s="199"/>
      <c r="CC135" s="199"/>
      <c r="CD135" s="199"/>
      <c r="CE135" s="199"/>
      <c r="CF135" s="199"/>
      <c r="CG135" s="199"/>
      <c r="CH135" s="199"/>
      <c r="CI135" s="199"/>
      <c r="CJ135" s="199"/>
      <c r="CK135" s="199"/>
      <c r="CL135" s="199"/>
      <c r="CM135" s="199"/>
      <c r="CN135" s="199"/>
      <c r="CO135" s="199"/>
      <c r="CP135" s="199"/>
      <c r="CQ135" s="199"/>
      <c r="CR135" s="199"/>
      <c r="CS135" s="199"/>
      <c r="CT135" s="199"/>
    </row>
    <row r="136" spans="19:98" x14ac:dyDescent="0.25">
      <c r="S136" s="199"/>
      <c r="T136" s="199"/>
      <c r="U136" s="199"/>
      <c r="V136" s="199"/>
      <c r="W136" s="199"/>
      <c r="X136" s="199"/>
      <c r="Y136" s="199"/>
      <c r="Z136" s="199"/>
      <c r="AA136" s="199"/>
      <c r="AB136" s="199"/>
      <c r="AC136" s="199"/>
      <c r="AD136" s="199"/>
      <c r="AE136" s="199"/>
      <c r="AF136" s="199"/>
      <c r="AG136" s="199"/>
      <c r="AH136" s="199"/>
      <c r="AI136" s="199"/>
      <c r="AJ136" s="199"/>
      <c r="AK136" s="199"/>
      <c r="AL136" s="199"/>
      <c r="AM136" s="199"/>
      <c r="AN136" s="199"/>
      <c r="AO136" s="199"/>
      <c r="AP136" s="199"/>
      <c r="AQ136" s="199"/>
      <c r="AR136" s="199"/>
      <c r="AS136" s="199"/>
      <c r="AT136" s="199"/>
      <c r="AU136" s="199"/>
      <c r="AV136" s="199"/>
      <c r="AW136" s="199"/>
      <c r="AX136" s="199"/>
      <c r="AY136" s="199"/>
      <c r="AZ136" s="199"/>
      <c r="BA136" s="199"/>
      <c r="BB136" s="199"/>
      <c r="BC136" s="199"/>
      <c r="BD136" s="199"/>
      <c r="BE136" s="199"/>
      <c r="BF136" s="199"/>
      <c r="BG136" s="199"/>
      <c r="BH136" s="199"/>
      <c r="BI136" s="199"/>
      <c r="BJ136" s="199"/>
      <c r="BK136" s="199"/>
      <c r="BL136" s="199"/>
      <c r="BM136" s="199"/>
      <c r="BN136" s="199"/>
      <c r="BO136" s="199"/>
      <c r="BP136" s="199"/>
      <c r="BQ136" s="199"/>
      <c r="BR136" s="199"/>
      <c r="BS136" s="199"/>
      <c r="BT136" s="199"/>
      <c r="BU136" s="199"/>
      <c r="BV136" s="199"/>
      <c r="BW136" s="199"/>
      <c r="BX136" s="199"/>
      <c r="BY136" s="199"/>
      <c r="BZ136" s="199"/>
      <c r="CA136" s="199"/>
      <c r="CB136" s="199"/>
      <c r="CC136" s="199"/>
      <c r="CD136" s="199"/>
      <c r="CE136" s="199"/>
      <c r="CF136" s="199"/>
      <c r="CG136" s="199"/>
      <c r="CH136" s="199"/>
      <c r="CI136" s="199"/>
      <c r="CJ136" s="199"/>
      <c r="CK136" s="199"/>
      <c r="CL136" s="199"/>
      <c r="CM136" s="199"/>
      <c r="CN136" s="199"/>
      <c r="CO136" s="199"/>
      <c r="CP136" s="199"/>
      <c r="CQ136" s="199"/>
      <c r="CR136" s="199"/>
      <c r="CS136" s="199"/>
      <c r="CT136" s="199"/>
    </row>
    <row r="137" spans="19:98" x14ac:dyDescent="0.25">
      <c r="S137" s="199"/>
      <c r="T137" s="199"/>
      <c r="U137" s="199"/>
      <c r="V137" s="199"/>
      <c r="W137" s="199"/>
      <c r="X137" s="199"/>
      <c r="Y137" s="199"/>
      <c r="Z137" s="199"/>
      <c r="AA137" s="199"/>
      <c r="AB137" s="199"/>
      <c r="AC137" s="199"/>
      <c r="AD137" s="199"/>
      <c r="AE137" s="199"/>
      <c r="AF137" s="199"/>
      <c r="AG137" s="199"/>
      <c r="AH137" s="199"/>
      <c r="AI137" s="199"/>
      <c r="AJ137" s="199"/>
      <c r="AK137" s="199"/>
      <c r="AL137" s="199"/>
      <c r="AM137" s="199"/>
      <c r="AN137" s="199"/>
      <c r="AO137" s="199"/>
      <c r="AP137" s="199"/>
      <c r="AQ137" s="199"/>
      <c r="AR137" s="199"/>
      <c r="AS137" s="199"/>
      <c r="AT137" s="199"/>
      <c r="AU137" s="199"/>
      <c r="AV137" s="199"/>
      <c r="AW137" s="199"/>
      <c r="AX137" s="199"/>
      <c r="AY137" s="199"/>
      <c r="AZ137" s="199"/>
      <c r="BA137" s="199"/>
      <c r="BB137" s="199"/>
      <c r="BC137" s="199"/>
      <c r="BD137" s="199"/>
      <c r="BE137" s="199"/>
      <c r="BF137" s="199"/>
      <c r="BG137" s="199"/>
      <c r="BH137" s="199"/>
      <c r="BI137" s="199"/>
      <c r="BJ137" s="199"/>
      <c r="BK137" s="199"/>
      <c r="BL137" s="199"/>
      <c r="BM137" s="199"/>
      <c r="BN137" s="199"/>
      <c r="BO137" s="199"/>
      <c r="BP137" s="199"/>
      <c r="BQ137" s="199"/>
      <c r="BR137" s="199"/>
      <c r="BS137" s="199"/>
      <c r="BT137" s="199"/>
      <c r="BU137" s="199"/>
      <c r="BV137" s="199"/>
      <c r="BW137" s="199"/>
      <c r="BX137" s="199"/>
      <c r="BY137" s="199"/>
      <c r="BZ137" s="199"/>
      <c r="CA137" s="199"/>
      <c r="CB137" s="199"/>
      <c r="CC137" s="199"/>
      <c r="CD137" s="199"/>
      <c r="CE137" s="199"/>
      <c r="CF137" s="199"/>
      <c r="CG137" s="199"/>
      <c r="CH137" s="199"/>
      <c r="CI137" s="199"/>
      <c r="CJ137" s="199"/>
      <c r="CK137" s="199"/>
      <c r="CL137" s="199"/>
      <c r="CM137" s="199"/>
      <c r="CN137" s="199"/>
      <c r="CO137" s="199"/>
      <c r="CP137" s="199"/>
      <c r="CQ137" s="199"/>
      <c r="CR137" s="199"/>
      <c r="CS137" s="199"/>
      <c r="CT137" s="199"/>
    </row>
    <row r="138" spans="19:98" x14ac:dyDescent="0.25">
      <c r="S138" s="199"/>
      <c r="T138" s="199"/>
      <c r="U138" s="199"/>
      <c r="V138" s="199"/>
      <c r="W138" s="199"/>
      <c r="X138" s="199"/>
      <c r="Y138" s="199"/>
      <c r="Z138" s="199"/>
      <c r="AA138" s="199"/>
      <c r="AB138" s="199"/>
      <c r="AC138" s="199"/>
      <c r="AD138" s="199"/>
      <c r="AE138" s="199"/>
      <c r="AF138" s="199"/>
      <c r="AG138" s="199"/>
      <c r="AH138" s="199"/>
      <c r="AI138" s="199"/>
      <c r="AJ138" s="199"/>
      <c r="AK138" s="199"/>
      <c r="AL138" s="199"/>
      <c r="AM138" s="199"/>
      <c r="AN138" s="199"/>
      <c r="AO138" s="199"/>
      <c r="AP138" s="199"/>
      <c r="AQ138" s="199"/>
      <c r="AR138" s="199"/>
      <c r="AS138" s="199"/>
      <c r="AT138" s="199"/>
      <c r="AU138" s="199"/>
      <c r="AV138" s="199"/>
      <c r="AW138" s="199"/>
      <c r="AX138" s="199"/>
      <c r="AY138" s="199"/>
      <c r="AZ138" s="199"/>
      <c r="BA138" s="199"/>
      <c r="BB138" s="199"/>
      <c r="BC138" s="199"/>
      <c r="BD138" s="199"/>
      <c r="BE138" s="199"/>
      <c r="BF138" s="199"/>
      <c r="BG138" s="199"/>
      <c r="BH138" s="199"/>
      <c r="BI138" s="199"/>
      <c r="BJ138" s="199"/>
      <c r="BK138" s="199"/>
      <c r="BL138" s="199"/>
      <c r="BM138" s="199"/>
      <c r="BN138" s="199"/>
      <c r="BO138" s="199"/>
      <c r="BP138" s="199"/>
      <c r="BQ138" s="199"/>
      <c r="BR138" s="199"/>
      <c r="BS138" s="199"/>
      <c r="BT138" s="199"/>
      <c r="BU138" s="199"/>
      <c r="BV138" s="199"/>
      <c r="BW138" s="199"/>
      <c r="BX138" s="199"/>
      <c r="BY138" s="199"/>
      <c r="BZ138" s="199"/>
      <c r="CA138" s="199"/>
      <c r="CB138" s="199"/>
      <c r="CC138" s="199"/>
      <c r="CD138" s="199"/>
      <c r="CE138" s="199"/>
      <c r="CF138" s="199"/>
      <c r="CG138" s="199"/>
      <c r="CH138" s="199"/>
      <c r="CI138" s="199"/>
      <c r="CJ138" s="199"/>
      <c r="CK138" s="199"/>
      <c r="CL138" s="199"/>
      <c r="CM138" s="199"/>
      <c r="CN138" s="199"/>
      <c r="CO138" s="199"/>
      <c r="CP138" s="199"/>
      <c r="CQ138" s="199"/>
      <c r="CR138" s="199"/>
      <c r="CS138" s="199"/>
      <c r="CT138" s="199"/>
    </row>
    <row r="139" spans="19:98" x14ac:dyDescent="0.25">
      <c r="S139" s="199"/>
      <c r="T139" s="199"/>
      <c r="U139" s="199"/>
      <c r="V139" s="199"/>
      <c r="W139" s="199"/>
      <c r="X139" s="199"/>
      <c r="Y139" s="199"/>
      <c r="Z139" s="199"/>
      <c r="AA139" s="199"/>
      <c r="AB139" s="199"/>
      <c r="AC139" s="199"/>
      <c r="AD139" s="199"/>
      <c r="AE139" s="199"/>
      <c r="AF139" s="199"/>
      <c r="AG139" s="199"/>
      <c r="AH139" s="199"/>
      <c r="AI139" s="199"/>
      <c r="AJ139" s="199"/>
      <c r="AK139" s="199"/>
      <c r="AL139" s="199"/>
      <c r="AM139" s="199"/>
      <c r="AN139" s="199"/>
      <c r="AO139" s="199"/>
      <c r="AP139" s="199"/>
      <c r="AQ139" s="199"/>
      <c r="AR139" s="199"/>
      <c r="AS139" s="199"/>
      <c r="AT139" s="199"/>
      <c r="AU139" s="199"/>
      <c r="AV139" s="199"/>
      <c r="AW139" s="199"/>
      <c r="AX139" s="199"/>
      <c r="AY139" s="199"/>
      <c r="AZ139" s="199"/>
      <c r="BA139" s="199"/>
      <c r="BB139" s="199"/>
      <c r="BC139" s="199"/>
      <c r="BD139" s="199"/>
      <c r="BE139" s="199"/>
      <c r="BF139" s="199"/>
      <c r="BG139" s="199"/>
      <c r="BH139" s="199"/>
      <c r="BI139" s="199"/>
      <c r="BJ139" s="199"/>
      <c r="BK139" s="199"/>
      <c r="BL139" s="199"/>
      <c r="BM139" s="199"/>
      <c r="BN139" s="199"/>
      <c r="BO139" s="199"/>
      <c r="BP139" s="199"/>
      <c r="BQ139" s="199"/>
      <c r="BR139" s="199"/>
      <c r="BS139" s="199"/>
      <c r="BT139" s="199"/>
      <c r="BU139" s="199"/>
      <c r="BV139" s="199"/>
      <c r="BW139" s="199"/>
      <c r="BX139" s="199"/>
      <c r="BY139" s="199"/>
      <c r="BZ139" s="199"/>
      <c r="CA139" s="199"/>
      <c r="CB139" s="199"/>
      <c r="CC139" s="199"/>
      <c r="CD139" s="199"/>
      <c r="CE139" s="199"/>
      <c r="CF139" s="199"/>
      <c r="CG139" s="199"/>
      <c r="CH139" s="199"/>
      <c r="CI139" s="199"/>
      <c r="CJ139" s="199"/>
      <c r="CK139" s="199"/>
      <c r="CL139" s="199"/>
      <c r="CM139" s="199"/>
      <c r="CN139" s="199"/>
      <c r="CO139" s="199"/>
      <c r="CP139" s="199"/>
      <c r="CQ139" s="199"/>
      <c r="CR139" s="199"/>
      <c r="CS139" s="199"/>
      <c r="CT139" s="199"/>
    </row>
    <row r="140" spans="19:98" x14ac:dyDescent="0.25">
      <c r="S140" s="199"/>
      <c r="T140" s="199"/>
      <c r="U140" s="199"/>
      <c r="V140" s="199"/>
      <c r="W140" s="199"/>
      <c r="X140" s="199"/>
      <c r="Y140" s="199"/>
      <c r="Z140" s="199"/>
      <c r="AA140" s="199"/>
      <c r="AB140" s="199"/>
      <c r="AC140" s="199"/>
      <c r="AD140" s="199"/>
      <c r="AE140" s="199"/>
      <c r="AF140" s="199"/>
      <c r="AG140" s="199"/>
      <c r="AH140" s="199"/>
      <c r="AI140" s="199"/>
      <c r="AJ140" s="199"/>
      <c r="AK140" s="199"/>
      <c r="AL140" s="199"/>
      <c r="AM140" s="199"/>
      <c r="AN140" s="199"/>
      <c r="AO140" s="199"/>
      <c r="AP140" s="199"/>
      <c r="AQ140" s="199"/>
      <c r="AR140" s="199"/>
      <c r="AS140" s="199"/>
      <c r="AT140" s="199"/>
      <c r="AU140" s="199"/>
      <c r="AV140" s="199"/>
      <c r="AW140" s="199"/>
      <c r="AX140" s="199"/>
      <c r="AY140" s="199"/>
      <c r="AZ140" s="199"/>
      <c r="BA140" s="199"/>
      <c r="BB140" s="199"/>
      <c r="BC140" s="199"/>
      <c r="BD140" s="199"/>
      <c r="BE140" s="199"/>
      <c r="BF140" s="199"/>
      <c r="BG140" s="199"/>
      <c r="BH140" s="199"/>
      <c r="BI140" s="199"/>
      <c r="BJ140" s="199"/>
      <c r="BK140" s="199"/>
      <c r="BL140" s="199"/>
      <c r="BM140" s="199"/>
      <c r="BN140" s="199"/>
      <c r="BO140" s="199"/>
      <c r="BP140" s="199"/>
      <c r="BQ140" s="199"/>
      <c r="BR140" s="199"/>
      <c r="BS140" s="199"/>
      <c r="BT140" s="199"/>
      <c r="BU140" s="199"/>
      <c r="BV140" s="199"/>
      <c r="BW140" s="199"/>
      <c r="BX140" s="199"/>
      <c r="BY140" s="199"/>
      <c r="BZ140" s="199"/>
      <c r="CA140" s="199"/>
      <c r="CB140" s="199"/>
      <c r="CC140" s="199"/>
      <c r="CD140" s="199"/>
      <c r="CE140" s="199"/>
      <c r="CF140" s="199"/>
      <c r="CG140" s="199"/>
      <c r="CH140" s="199"/>
      <c r="CI140" s="199"/>
      <c r="CJ140" s="199"/>
      <c r="CK140" s="199"/>
      <c r="CL140" s="199"/>
      <c r="CM140" s="199"/>
      <c r="CN140" s="199"/>
      <c r="CO140" s="199"/>
      <c r="CP140" s="199"/>
      <c r="CQ140" s="199"/>
      <c r="CR140" s="199"/>
      <c r="CS140" s="199"/>
      <c r="CT140" s="199"/>
    </row>
    <row r="141" spans="19:98" x14ac:dyDescent="0.25">
      <c r="S141" s="199"/>
      <c r="T141" s="199"/>
      <c r="U141" s="199"/>
      <c r="V141" s="199"/>
      <c r="W141" s="199"/>
      <c r="X141" s="199"/>
      <c r="Y141" s="199"/>
      <c r="Z141" s="199"/>
      <c r="AA141" s="199"/>
      <c r="AB141" s="199"/>
      <c r="AC141" s="199"/>
      <c r="AD141" s="199"/>
      <c r="AE141" s="199"/>
      <c r="AF141" s="199"/>
      <c r="AG141" s="199"/>
      <c r="AH141" s="199"/>
      <c r="AI141" s="199"/>
      <c r="AJ141" s="199"/>
      <c r="AK141" s="199"/>
      <c r="AL141" s="199"/>
      <c r="AM141" s="199"/>
      <c r="AN141" s="199"/>
      <c r="AO141" s="199"/>
      <c r="AP141" s="199"/>
      <c r="AQ141" s="199"/>
      <c r="AR141" s="199"/>
      <c r="AS141" s="199"/>
      <c r="AT141" s="199"/>
      <c r="AU141" s="199"/>
      <c r="AV141" s="199"/>
      <c r="AW141" s="199"/>
      <c r="AX141" s="199"/>
      <c r="AY141" s="199"/>
      <c r="AZ141" s="199"/>
      <c r="BA141" s="199"/>
      <c r="BB141" s="199"/>
      <c r="BC141" s="199"/>
      <c r="BD141" s="199"/>
      <c r="BE141" s="199"/>
      <c r="BF141" s="199"/>
      <c r="BG141" s="199"/>
      <c r="BH141" s="199"/>
      <c r="BI141" s="199"/>
      <c r="BJ141" s="199"/>
      <c r="BK141" s="199"/>
      <c r="BL141" s="199"/>
      <c r="BM141" s="199"/>
      <c r="BN141" s="199"/>
      <c r="BO141" s="199"/>
      <c r="BP141" s="199"/>
      <c r="BQ141" s="199"/>
      <c r="BR141" s="199"/>
      <c r="BS141" s="199"/>
      <c r="BT141" s="199"/>
      <c r="BU141" s="199"/>
      <c r="BV141" s="199"/>
      <c r="BW141" s="199"/>
      <c r="BX141" s="199"/>
      <c r="BY141" s="199"/>
      <c r="BZ141" s="199"/>
      <c r="CA141" s="199"/>
      <c r="CB141" s="199"/>
      <c r="CC141" s="199"/>
      <c r="CD141" s="199"/>
      <c r="CE141" s="199"/>
      <c r="CF141" s="199"/>
      <c r="CG141" s="199"/>
      <c r="CH141" s="199"/>
      <c r="CI141" s="199"/>
      <c r="CJ141" s="199"/>
      <c r="CK141" s="199"/>
      <c r="CL141" s="199"/>
      <c r="CM141" s="199"/>
      <c r="CN141" s="199"/>
      <c r="CO141" s="199"/>
      <c r="CP141" s="199"/>
      <c r="CQ141" s="199"/>
      <c r="CR141" s="199"/>
      <c r="CS141" s="199"/>
      <c r="CT141" s="199"/>
    </row>
    <row r="142" spans="19:98" x14ac:dyDescent="0.25">
      <c r="S142" s="199"/>
      <c r="T142" s="199"/>
      <c r="U142" s="199"/>
      <c r="V142" s="199"/>
      <c r="W142" s="199"/>
      <c r="X142" s="199"/>
      <c r="Y142" s="199"/>
      <c r="Z142" s="199"/>
      <c r="AA142" s="199"/>
      <c r="AB142" s="199"/>
      <c r="AC142" s="199"/>
      <c r="AD142" s="199"/>
      <c r="AE142" s="199"/>
      <c r="AF142" s="199"/>
      <c r="AG142" s="199"/>
      <c r="AH142" s="199"/>
      <c r="AI142" s="199"/>
      <c r="AJ142" s="199"/>
      <c r="AK142" s="199"/>
      <c r="AL142" s="199"/>
      <c r="AM142" s="199"/>
      <c r="AN142" s="199"/>
      <c r="AO142" s="199"/>
      <c r="AP142" s="199"/>
      <c r="AQ142" s="199"/>
      <c r="AR142" s="199"/>
      <c r="AS142" s="199"/>
      <c r="AT142" s="199"/>
      <c r="AU142" s="199"/>
      <c r="AV142" s="199"/>
      <c r="AW142" s="199"/>
      <c r="AX142" s="199"/>
      <c r="AY142" s="199"/>
      <c r="AZ142" s="199"/>
      <c r="BA142" s="199"/>
      <c r="BB142" s="199"/>
      <c r="BC142" s="199"/>
      <c r="BD142" s="199"/>
      <c r="BE142" s="199"/>
      <c r="BF142" s="199"/>
      <c r="BG142" s="199"/>
      <c r="BH142" s="199"/>
      <c r="BI142" s="199"/>
      <c r="BJ142" s="199"/>
      <c r="BK142" s="199"/>
      <c r="BL142" s="199"/>
      <c r="BM142" s="199"/>
      <c r="BN142" s="199"/>
      <c r="BO142" s="199"/>
      <c r="BP142" s="199"/>
      <c r="BQ142" s="199"/>
      <c r="BR142" s="199"/>
      <c r="BS142" s="199"/>
      <c r="BT142" s="199"/>
      <c r="BU142" s="199"/>
      <c r="BV142" s="199"/>
      <c r="BW142" s="199"/>
      <c r="BX142" s="199"/>
      <c r="BY142" s="199"/>
      <c r="BZ142" s="199"/>
      <c r="CA142" s="199"/>
      <c r="CB142" s="199"/>
      <c r="CC142" s="199"/>
      <c r="CD142" s="199"/>
      <c r="CE142" s="199"/>
      <c r="CF142" s="199"/>
      <c r="CG142" s="199"/>
      <c r="CH142" s="199"/>
      <c r="CI142" s="199"/>
      <c r="CJ142" s="199"/>
      <c r="CK142" s="199"/>
      <c r="CL142" s="199"/>
      <c r="CM142" s="199"/>
      <c r="CN142" s="199"/>
      <c r="CO142" s="199"/>
      <c r="CP142" s="199"/>
      <c r="CQ142" s="199"/>
      <c r="CR142" s="199"/>
      <c r="CS142" s="199"/>
      <c r="CT142" s="199"/>
    </row>
    <row r="143" spans="19:98" x14ac:dyDescent="0.25">
      <c r="S143" s="199"/>
      <c r="T143" s="199"/>
      <c r="U143" s="199"/>
      <c r="V143" s="199"/>
      <c r="W143" s="199"/>
      <c r="X143" s="199"/>
      <c r="Y143" s="199"/>
      <c r="Z143" s="199"/>
      <c r="AA143" s="199"/>
      <c r="AB143" s="199"/>
      <c r="AC143" s="199"/>
      <c r="AD143" s="199"/>
      <c r="AE143" s="199"/>
      <c r="AF143" s="199"/>
      <c r="AG143" s="199"/>
      <c r="AH143" s="199"/>
      <c r="AI143" s="199"/>
      <c r="AJ143" s="199"/>
      <c r="AK143" s="199"/>
      <c r="AL143" s="199"/>
      <c r="AM143" s="199"/>
      <c r="AN143" s="199"/>
      <c r="AO143" s="199"/>
      <c r="AP143" s="199"/>
      <c r="AQ143" s="199"/>
      <c r="AR143" s="199"/>
      <c r="AS143" s="199"/>
      <c r="AT143" s="199"/>
      <c r="AU143" s="199"/>
      <c r="AV143" s="199"/>
      <c r="AW143" s="199"/>
      <c r="AX143" s="199"/>
      <c r="AY143" s="199"/>
      <c r="AZ143" s="199"/>
      <c r="BA143" s="199"/>
      <c r="BB143" s="199"/>
      <c r="BC143" s="199"/>
      <c r="BD143" s="199"/>
      <c r="BE143" s="199"/>
      <c r="BF143" s="199"/>
      <c r="BG143" s="199"/>
      <c r="BH143" s="199"/>
      <c r="BI143" s="199"/>
      <c r="BJ143" s="199"/>
      <c r="BK143" s="199"/>
      <c r="BL143" s="199"/>
      <c r="BM143" s="199"/>
      <c r="BN143" s="199"/>
      <c r="BO143" s="199"/>
      <c r="BP143" s="199"/>
      <c r="BQ143" s="199"/>
      <c r="BR143" s="199"/>
      <c r="BS143" s="199"/>
      <c r="BT143" s="199"/>
      <c r="BU143" s="199"/>
      <c r="BV143" s="199"/>
      <c r="BW143" s="199"/>
      <c r="BX143" s="199"/>
      <c r="BY143" s="199"/>
      <c r="BZ143" s="199"/>
      <c r="CA143" s="199"/>
      <c r="CB143" s="199"/>
      <c r="CC143" s="199"/>
      <c r="CD143" s="199"/>
      <c r="CE143" s="199"/>
      <c r="CF143" s="199"/>
      <c r="CG143" s="199"/>
      <c r="CH143" s="199"/>
      <c r="CI143" s="199"/>
      <c r="CJ143" s="199"/>
      <c r="CK143" s="199"/>
      <c r="CL143" s="199"/>
      <c r="CM143" s="199"/>
      <c r="CN143" s="199"/>
      <c r="CO143" s="199"/>
      <c r="CP143" s="199"/>
      <c r="CQ143" s="199"/>
      <c r="CR143" s="199"/>
      <c r="CS143" s="199"/>
      <c r="CT143" s="199"/>
    </row>
    <row r="144" spans="19:98" x14ac:dyDescent="0.25">
      <c r="S144" s="199"/>
      <c r="T144" s="199"/>
      <c r="U144" s="199"/>
      <c r="V144" s="199"/>
      <c r="W144" s="199"/>
      <c r="X144" s="199"/>
      <c r="Y144" s="199"/>
      <c r="Z144" s="199"/>
      <c r="AA144" s="199"/>
      <c r="AB144" s="199"/>
      <c r="AC144" s="199"/>
      <c r="AD144" s="199"/>
      <c r="AE144" s="199"/>
      <c r="AF144" s="199"/>
      <c r="AG144" s="199"/>
      <c r="AH144" s="199"/>
      <c r="AI144" s="199"/>
      <c r="AJ144" s="199"/>
      <c r="AK144" s="199"/>
      <c r="AL144" s="199"/>
      <c r="AM144" s="199"/>
      <c r="AN144" s="199"/>
      <c r="AO144" s="199"/>
      <c r="AP144" s="199"/>
      <c r="AQ144" s="199"/>
      <c r="AR144" s="199"/>
      <c r="AS144" s="199"/>
      <c r="AT144" s="199"/>
      <c r="AU144" s="199"/>
      <c r="AV144" s="199"/>
      <c r="AW144" s="199"/>
      <c r="AX144" s="199"/>
      <c r="AY144" s="199"/>
      <c r="AZ144" s="199"/>
      <c r="BA144" s="199"/>
      <c r="BB144" s="199"/>
      <c r="BC144" s="199"/>
      <c r="BD144" s="199"/>
      <c r="BE144" s="199"/>
      <c r="BF144" s="199"/>
      <c r="BG144" s="199"/>
      <c r="BH144" s="199"/>
      <c r="BI144" s="199"/>
      <c r="BJ144" s="199"/>
      <c r="BK144" s="199"/>
      <c r="BL144" s="199"/>
      <c r="BM144" s="199"/>
      <c r="BN144" s="199"/>
      <c r="BO144" s="199"/>
      <c r="BP144" s="199"/>
      <c r="BQ144" s="199"/>
      <c r="BR144" s="199"/>
      <c r="BS144" s="199"/>
      <c r="BT144" s="199"/>
      <c r="BU144" s="199"/>
      <c r="BV144" s="199"/>
      <c r="BW144" s="199"/>
      <c r="BX144" s="199"/>
      <c r="BY144" s="199"/>
      <c r="BZ144" s="199"/>
      <c r="CA144" s="199"/>
      <c r="CB144" s="199"/>
      <c r="CC144" s="199"/>
      <c r="CD144" s="199"/>
      <c r="CE144" s="199"/>
      <c r="CF144" s="199"/>
      <c r="CG144" s="199"/>
      <c r="CH144" s="199"/>
      <c r="CI144" s="199"/>
      <c r="CJ144" s="199"/>
      <c r="CK144" s="199"/>
      <c r="CL144" s="199"/>
      <c r="CM144" s="199"/>
      <c r="CN144" s="199"/>
      <c r="CO144" s="199"/>
      <c r="CP144" s="199"/>
      <c r="CQ144" s="199"/>
      <c r="CR144" s="199"/>
      <c r="CS144" s="199"/>
      <c r="CT144" s="199"/>
    </row>
    <row r="145" spans="19:98" x14ac:dyDescent="0.25">
      <c r="S145" s="199"/>
      <c r="T145" s="199"/>
      <c r="U145" s="199"/>
      <c r="V145" s="199"/>
      <c r="W145" s="199"/>
      <c r="X145" s="199"/>
      <c r="Y145" s="199"/>
      <c r="Z145" s="199"/>
      <c r="AA145" s="199"/>
      <c r="AB145" s="199"/>
      <c r="AC145" s="199"/>
      <c r="AD145" s="199"/>
      <c r="AE145" s="199"/>
      <c r="AF145" s="199"/>
      <c r="AG145" s="199"/>
      <c r="AH145" s="199"/>
      <c r="AI145" s="199"/>
      <c r="AJ145" s="199"/>
      <c r="AK145" s="199"/>
      <c r="AL145" s="199"/>
      <c r="AM145" s="199"/>
      <c r="AN145" s="199"/>
      <c r="AO145" s="199"/>
      <c r="AP145" s="199"/>
      <c r="AQ145" s="199"/>
      <c r="AR145" s="199"/>
      <c r="AS145" s="199"/>
      <c r="AT145" s="199"/>
      <c r="AU145" s="199"/>
      <c r="AV145" s="199"/>
      <c r="AW145" s="199"/>
      <c r="AX145" s="199"/>
      <c r="AY145" s="199"/>
      <c r="AZ145" s="199"/>
      <c r="BA145" s="199"/>
      <c r="BB145" s="199"/>
      <c r="BC145" s="199"/>
      <c r="BD145" s="199"/>
      <c r="BE145" s="199"/>
      <c r="BF145" s="199"/>
      <c r="BG145" s="199"/>
      <c r="BH145" s="199"/>
      <c r="BI145" s="199"/>
      <c r="BJ145" s="199"/>
      <c r="BK145" s="199"/>
      <c r="BL145" s="199"/>
      <c r="BM145" s="199"/>
      <c r="BN145" s="199"/>
      <c r="BO145" s="199"/>
      <c r="BP145" s="199"/>
      <c r="BQ145" s="199"/>
      <c r="BR145" s="199"/>
      <c r="BS145" s="199"/>
      <c r="BT145" s="199"/>
      <c r="BU145" s="199"/>
      <c r="BV145" s="199"/>
      <c r="BW145" s="199"/>
      <c r="BX145" s="199"/>
      <c r="BY145" s="199"/>
      <c r="BZ145" s="199"/>
      <c r="CA145" s="199"/>
      <c r="CB145" s="199"/>
      <c r="CC145" s="199"/>
      <c r="CD145" s="199"/>
      <c r="CE145" s="199"/>
      <c r="CF145" s="199"/>
      <c r="CG145" s="199"/>
      <c r="CH145" s="199"/>
      <c r="CI145" s="199"/>
      <c r="CJ145" s="199"/>
      <c r="CK145" s="199"/>
      <c r="CL145" s="199"/>
      <c r="CM145" s="199"/>
      <c r="CN145" s="199"/>
      <c r="CO145" s="199"/>
      <c r="CP145" s="199"/>
      <c r="CQ145" s="199"/>
      <c r="CR145" s="199"/>
      <c r="CS145" s="199"/>
      <c r="CT145" s="199"/>
    </row>
    <row r="146" spans="19:98" x14ac:dyDescent="0.25">
      <c r="S146" s="199"/>
      <c r="T146" s="199"/>
      <c r="U146" s="199"/>
      <c r="V146" s="199"/>
      <c r="W146" s="199"/>
      <c r="X146" s="199"/>
      <c r="Y146" s="199"/>
      <c r="Z146" s="199"/>
      <c r="AA146" s="199"/>
      <c r="AB146" s="199"/>
      <c r="AC146" s="199"/>
      <c r="AD146" s="199"/>
      <c r="AE146" s="199"/>
      <c r="AF146" s="199"/>
      <c r="AG146" s="199"/>
      <c r="AH146" s="199"/>
      <c r="AI146" s="199"/>
      <c r="AJ146" s="199"/>
      <c r="AK146" s="199"/>
      <c r="AL146" s="199"/>
      <c r="AM146" s="199"/>
      <c r="AN146" s="199"/>
      <c r="AO146" s="199"/>
      <c r="AP146" s="199"/>
      <c r="AQ146" s="199"/>
      <c r="AR146" s="199"/>
      <c r="AS146" s="199"/>
      <c r="AT146" s="199"/>
      <c r="AU146" s="199"/>
      <c r="AV146" s="199"/>
      <c r="AW146" s="199"/>
      <c r="AX146" s="199"/>
      <c r="AY146" s="199"/>
      <c r="AZ146" s="199"/>
      <c r="BA146" s="199"/>
      <c r="BB146" s="199"/>
      <c r="BC146" s="199"/>
      <c r="BD146" s="199"/>
      <c r="BE146" s="199"/>
      <c r="BF146" s="199"/>
      <c r="BG146" s="199"/>
      <c r="BH146" s="199"/>
      <c r="BI146" s="199"/>
      <c r="BJ146" s="199"/>
      <c r="BK146" s="199"/>
      <c r="BL146" s="199"/>
      <c r="BM146" s="199"/>
      <c r="BN146" s="199"/>
      <c r="BO146" s="199"/>
      <c r="BP146" s="199"/>
      <c r="BQ146" s="199"/>
      <c r="BR146" s="199"/>
      <c r="BS146" s="199"/>
      <c r="BT146" s="199"/>
      <c r="BU146" s="199"/>
      <c r="BV146" s="199"/>
      <c r="BW146" s="199"/>
      <c r="BX146" s="199"/>
      <c r="BY146" s="199"/>
      <c r="BZ146" s="199"/>
      <c r="CA146" s="199"/>
      <c r="CB146" s="199"/>
      <c r="CC146" s="199"/>
      <c r="CD146" s="199"/>
      <c r="CE146" s="199"/>
      <c r="CF146" s="199"/>
      <c r="CG146" s="199"/>
      <c r="CH146" s="199"/>
      <c r="CI146" s="199"/>
      <c r="CJ146" s="199"/>
      <c r="CK146" s="199"/>
      <c r="CL146" s="199"/>
      <c r="CM146" s="199"/>
      <c r="CN146" s="199"/>
      <c r="CO146" s="199"/>
      <c r="CP146" s="199"/>
      <c r="CQ146" s="199"/>
      <c r="CR146" s="199"/>
      <c r="CS146" s="199"/>
      <c r="CT146" s="199"/>
    </row>
    <row r="147" spans="19:98" x14ac:dyDescent="0.25">
      <c r="S147" s="199"/>
      <c r="T147" s="199"/>
      <c r="U147" s="199"/>
      <c r="V147" s="199"/>
      <c r="W147" s="199"/>
      <c r="X147" s="199"/>
      <c r="Y147" s="199"/>
      <c r="Z147" s="199"/>
      <c r="AA147" s="199"/>
      <c r="AB147" s="199"/>
      <c r="AC147" s="199"/>
      <c r="AD147" s="199"/>
      <c r="AE147" s="199"/>
      <c r="AF147" s="199"/>
      <c r="AG147" s="199"/>
      <c r="AH147" s="199"/>
      <c r="AI147" s="199"/>
      <c r="AJ147" s="199"/>
      <c r="AK147" s="199"/>
      <c r="AL147" s="199"/>
      <c r="AM147" s="199"/>
      <c r="AN147" s="199"/>
      <c r="AO147" s="199"/>
      <c r="AP147" s="199"/>
      <c r="AQ147" s="199"/>
      <c r="AR147" s="199"/>
      <c r="AS147" s="199"/>
      <c r="AT147" s="199"/>
      <c r="AU147" s="199"/>
      <c r="AV147" s="199"/>
      <c r="AW147" s="199"/>
      <c r="AX147" s="199"/>
      <c r="AY147" s="199"/>
      <c r="AZ147" s="199"/>
      <c r="BA147" s="199"/>
      <c r="BB147" s="199"/>
      <c r="BC147" s="199"/>
      <c r="BD147" s="199"/>
      <c r="BE147" s="199"/>
      <c r="BF147" s="199"/>
      <c r="BG147" s="199"/>
      <c r="BH147" s="199"/>
      <c r="BI147" s="199"/>
      <c r="BJ147" s="199"/>
      <c r="BK147" s="199"/>
      <c r="BL147" s="199"/>
      <c r="BM147" s="199"/>
      <c r="BN147" s="199"/>
      <c r="BO147" s="199"/>
      <c r="BP147" s="199"/>
      <c r="BQ147" s="199"/>
      <c r="BR147" s="199"/>
      <c r="BS147" s="199"/>
      <c r="BT147" s="199"/>
      <c r="BU147" s="199"/>
      <c r="BV147" s="199"/>
      <c r="BW147" s="199"/>
      <c r="BX147" s="199"/>
      <c r="BY147" s="199"/>
      <c r="BZ147" s="199"/>
      <c r="CA147" s="199"/>
      <c r="CB147" s="199"/>
      <c r="CC147" s="199"/>
      <c r="CD147" s="199"/>
      <c r="CE147" s="199"/>
      <c r="CF147" s="199"/>
      <c r="CG147" s="199"/>
      <c r="CH147" s="199"/>
      <c r="CI147" s="199"/>
      <c r="CJ147" s="199"/>
      <c r="CK147" s="199"/>
      <c r="CL147" s="199"/>
      <c r="CM147" s="199"/>
      <c r="CN147" s="199"/>
      <c r="CO147" s="199"/>
      <c r="CP147" s="199"/>
      <c r="CQ147" s="199"/>
      <c r="CR147" s="199"/>
      <c r="CS147" s="199"/>
      <c r="CT147" s="199"/>
    </row>
    <row r="148" spans="19:98" x14ac:dyDescent="0.25">
      <c r="S148" s="199"/>
      <c r="T148" s="199"/>
      <c r="U148" s="199"/>
      <c r="V148" s="199"/>
      <c r="W148" s="199"/>
      <c r="X148" s="199"/>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E148" s="199"/>
      <c r="BF148" s="199"/>
      <c r="BG148" s="199"/>
      <c r="BH148" s="199"/>
      <c r="BI148" s="199"/>
      <c r="BJ148" s="199"/>
      <c r="BK148" s="199"/>
      <c r="BL148" s="199"/>
      <c r="BM148" s="199"/>
      <c r="BN148" s="199"/>
      <c r="BO148" s="199"/>
      <c r="BP148" s="199"/>
      <c r="BQ148" s="199"/>
      <c r="BR148" s="199"/>
      <c r="BS148" s="199"/>
      <c r="BT148" s="199"/>
      <c r="BU148" s="199"/>
      <c r="BV148" s="199"/>
      <c r="BW148" s="199"/>
      <c r="BX148" s="199"/>
      <c r="BY148" s="199"/>
      <c r="BZ148" s="199"/>
      <c r="CA148" s="199"/>
      <c r="CB148" s="199"/>
      <c r="CC148" s="199"/>
      <c r="CD148" s="199"/>
      <c r="CE148" s="199"/>
      <c r="CF148" s="199"/>
      <c r="CG148" s="199"/>
      <c r="CH148" s="199"/>
      <c r="CI148" s="199"/>
      <c r="CJ148" s="199"/>
      <c r="CK148" s="199"/>
      <c r="CL148" s="199"/>
      <c r="CM148" s="199"/>
      <c r="CN148" s="199"/>
      <c r="CO148" s="199"/>
      <c r="CP148" s="199"/>
      <c r="CQ148" s="199"/>
      <c r="CR148" s="199"/>
      <c r="CS148" s="199"/>
      <c r="CT148" s="199"/>
    </row>
    <row r="149" spans="19:98" x14ac:dyDescent="0.25">
      <c r="S149" s="199"/>
      <c r="T149" s="199"/>
      <c r="U149" s="199"/>
      <c r="V149" s="199"/>
      <c r="W149" s="199"/>
      <c r="X149" s="199"/>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E149" s="199"/>
      <c r="BF149" s="199"/>
      <c r="BG149" s="199"/>
      <c r="BH149" s="199"/>
      <c r="BI149" s="199"/>
      <c r="BJ149" s="199"/>
      <c r="BK149" s="199"/>
      <c r="BL149" s="199"/>
      <c r="BM149" s="199"/>
      <c r="BN149" s="199"/>
      <c r="BO149" s="199"/>
      <c r="BP149" s="199"/>
      <c r="BQ149" s="199"/>
      <c r="BR149" s="199"/>
      <c r="BS149" s="199"/>
      <c r="BT149" s="199"/>
      <c r="BU149" s="199"/>
      <c r="BV149" s="199"/>
      <c r="BW149" s="199"/>
      <c r="BX149" s="199"/>
      <c r="BY149" s="199"/>
      <c r="BZ149" s="199"/>
      <c r="CA149" s="199"/>
      <c r="CB149" s="199"/>
      <c r="CC149" s="199"/>
      <c r="CD149" s="199"/>
      <c r="CE149" s="199"/>
      <c r="CF149" s="199"/>
      <c r="CG149" s="199"/>
      <c r="CH149" s="199"/>
      <c r="CI149" s="199"/>
      <c r="CJ149" s="199"/>
      <c r="CK149" s="199"/>
      <c r="CL149" s="199"/>
      <c r="CM149" s="199"/>
      <c r="CN149" s="199"/>
      <c r="CO149" s="199"/>
      <c r="CP149" s="199"/>
      <c r="CQ149" s="199"/>
      <c r="CR149" s="199"/>
      <c r="CS149" s="199"/>
      <c r="CT149" s="199"/>
    </row>
    <row r="150" spans="19:98" x14ac:dyDescent="0.25">
      <c r="S150" s="199"/>
      <c r="T150" s="199"/>
      <c r="U150" s="199"/>
      <c r="V150" s="199"/>
      <c r="W150" s="199"/>
      <c r="X150" s="199"/>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E150" s="199"/>
      <c r="BF150" s="199"/>
      <c r="BG150" s="199"/>
      <c r="BH150" s="199"/>
      <c r="BI150" s="199"/>
      <c r="BJ150" s="199"/>
      <c r="BK150" s="199"/>
      <c r="BL150" s="199"/>
      <c r="BM150" s="199"/>
      <c r="BN150" s="199"/>
      <c r="BO150" s="199"/>
      <c r="BP150" s="199"/>
      <c r="BQ150" s="199"/>
      <c r="BR150" s="199"/>
      <c r="BS150" s="199"/>
      <c r="BT150" s="199"/>
      <c r="BU150" s="199"/>
      <c r="BV150" s="199"/>
      <c r="BW150" s="199"/>
      <c r="BX150" s="199"/>
      <c r="BY150" s="199"/>
      <c r="BZ150" s="199"/>
      <c r="CA150" s="199"/>
      <c r="CB150" s="199"/>
      <c r="CC150" s="199"/>
      <c r="CD150" s="199"/>
      <c r="CE150" s="199"/>
      <c r="CF150" s="199"/>
      <c r="CG150" s="199"/>
      <c r="CH150" s="199"/>
      <c r="CI150" s="199"/>
      <c r="CJ150" s="199"/>
      <c r="CK150" s="199"/>
      <c r="CL150" s="199"/>
      <c r="CM150" s="199"/>
      <c r="CN150" s="199"/>
      <c r="CO150" s="199"/>
      <c r="CP150" s="199"/>
      <c r="CQ150" s="199"/>
      <c r="CR150" s="199"/>
      <c r="CS150" s="199"/>
      <c r="CT150" s="199"/>
    </row>
    <row r="151" spans="19:98" x14ac:dyDescent="0.25">
      <c r="S151" s="199"/>
      <c r="T151" s="199"/>
      <c r="U151" s="199"/>
      <c r="V151" s="199"/>
      <c r="W151" s="199"/>
      <c r="X151" s="199"/>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E151" s="199"/>
      <c r="BF151" s="199"/>
      <c r="BG151" s="199"/>
      <c r="BH151" s="199"/>
      <c r="BI151" s="199"/>
      <c r="BJ151" s="199"/>
      <c r="BK151" s="199"/>
      <c r="BL151" s="199"/>
      <c r="BM151" s="199"/>
      <c r="BN151" s="199"/>
      <c r="BO151" s="199"/>
      <c r="BP151" s="199"/>
      <c r="BQ151" s="199"/>
      <c r="BR151" s="199"/>
      <c r="BS151" s="199"/>
      <c r="BT151" s="199"/>
      <c r="BU151" s="199"/>
      <c r="BV151" s="199"/>
      <c r="BW151" s="199"/>
      <c r="BX151" s="199"/>
      <c r="BY151" s="199"/>
      <c r="BZ151" s="199"/>
      <c r="CA151" s="199"/>
      <c r="CB151" s="199"/>
      <c r="CC151" s="199"/>
      <c r="CD151" s="199"/>
      <c r="CE151" s="199"/>
      <c r="CF151" s="199"/>
      <c r="CG151" s="199"/>
      <c r="CH151" s="199"/>
      <c r="CI151" s="199"/>
      <c r="CJ151" s="199"/>
      <c r="CK151" s="199"/>
      <c r="CL151" s="199"/>
      <c r="CM151" s="199"/>
      <c r="CN151" s="199"/>
      <c r="CO151" s="199"/>
      <c r="CP151" s="199"/>
      <c r="CQ151" s="199"/>
      <c r="CR151" s="199"/>
      <c r="CS151" s="199"/>
      <c r="CT151" s="199"/>
    </row>
    <row r="152" spans="19:98" x14ac:dyDescent="0.25">
      <c r="S152" s="199"/>
      <c r="T152" s="199"/>
      <c r="U152" s="199"/>
      <c r="V152" s="199"/>
      <c r="W152" s="199"/>
      <c r="X152" s="199"/>
      <c r="Y152" s="199"/>
      <c r="Z152" s="199"/>
      <c r="AA152" s="199"/>
      <c r="AB152" s="199"/>
      <c r="AC152" s="199"/>
      <c r="AD152" s="199"/>
      <c r="AE152" s="199"/>
      <c r="AF152" s="199"/>
      <c r="AG152" s="199"/>
      <c r="AH152" s="199"/>
      <c r="AI152" s="199"/>
      <c r="AJ152" s="199"/>
      <c r="AK152" s="199"/>
      <c r="AL152" s="199"/>
      <c r="AM152" s="199"/>
      <c r="AN152" s="199"/>
      <c r="AO152" s="199"/>
      <c r="AP152" s="199"/>
      <c r="AQ152" s="199"/>
      <c r="AR152" s="199"/>
      <c r="AS152" s="199"/>
      <c r="AT152" s="199"/>
      <c r="AU152" s="199"/>
      <c r="AV152" s="199"/>
      <c r="AW152" s="199"/>
      <c r="AX152" s="199"/>
      <c r="AY152" s="199"/>
      <c r="AZ152" s="199"/>
      <c r="BA152" s="199"/>
      <c r="BB152" s="199"/>
      <c r="BC152" s="199"/>
      <c r="BD152" s="199"/>
      <c r="BE152" s="199"/>
      <c r="BF152" s="199"/>
      <c r="BG152" s="199"/>
      <c r="BH152" s="199"/>
      <c r="BI152" s="199"/>
      <c r="BJ152" s="199"/>
      <c r="BK152" s="199"/>
      <c r="BL152" s="199"/>
      <c r="BM152" s="199"/>
      <c r="BN152" s="199"/>
      <c r="BO152" s="199"/>
      <c r="BP152" s="199"/>
      <c r="BQ152" s="199"/>
      <c r="BR152" s="199"/>
      <c r="BS152" s="199"/>
      <c r="BT152" s="199"/>
      <c r="BU152" s="199"/>
      <c r="BV152" s="199"/>
      <c r="BW152" s="199"/>
      <c r="BX152" s="199"/>
      <c r="BY152" s="199"/>
      <c r="BZ152" s="199"/>
      <c r="CA152" s="199"/>
      <c r="CB152" s="199"/>
      <c r="CC152" s="199"/>
      <c r="CD152" s="199"/>
      <c r="CE152" s="199"/>
      <c r="CF152" s="199"/>
      <c r="CG152" s="199"/>
      <c r="CH152" s="199"/>
      <c r="CI152" s="199"/>
      <c r="CJ152" s="199"/>
      <c r="CK152" s="199"/>
      <c r="CL152" s="199"/>
      <c r="CM152" s="199"/>
      <c r="CN152" s="199"/>
      <c r="CO152" s="199"/>
      <c r="CP152" s="199"/>
      <c r="CQ152" s="199"/>
      <c r="CR152" s="199"/>
      <c r="CS152" s="199"/>
      <c r="CT152" s="199"/>
    </row>
    <row r="153" spans="19:98" x14ac:dyDescent="0.25">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c r="AT153" s="199"/>
      <c r="AU153" s="199"/>
      <c r="AV153" s="199"/>
      <c r="AW153" s="199"/>
      <c r="AX153" s="199"/>
      <c r="AY153" s="199"/>
      <c r="AZ153" s="199"/>
      <c r="BA153" s="199"/>
      <c r="BB153" s="199"/>
      <c r="BC153" s="199"/>
      <c r="BD153" s="199"/>
      <c r="BE153" s="199"/>
      <c r="BF153" s="199"/>
      <c r="BG153" s="199"/>
      <c r="BH153" s="199"/>
      <c r="BI153" s="199"/>
      <c r="BJ153" s="199"/>
      <c r="BK153" s="199"/>
      <c r="BL153" s="199"/>
      <c r="BM153" s="199"/>
      <c r="BN153" s="199"/>
      <c r="BO153" s="199"/>
      <c r="BP153" s="199"/>
      <c r="BQ153" s="199"/>
      <c r="BR153" s="199"/>
      <c r="BS153" s="199"/>
      <c r="BT153" s="199"/>
      <c r="BU153" s="199"/>
      <c r="BV153" s="199"/>
      <c r="BW153" s="199"/>
      <c r="BX153" s="199"/>
      <c r="BY153" s="199"/>
      <c r="BZ153" s="199"/>
      <c r="CA153" s="199"/>
      <c r="CB153" s="199"/>
      <c r="CC153" s="199"/>
      <c r="CD153" s="199"/>
      <c r="CE153" s="199"/>
      <c r="CF153" s="199"/>
      <c r="CG153" s="199"/>
      <c r="CH153" s="199"/>
      <c r="CI153" s="199"/>
      <c r="CJ153" s="199"/>
      <c r="CK153" s="199"/>
      <c r="CL153" s="199"/>
      <c r="CM153" s="199"/>
      <c r="CN153" s="199"/>
      <c r="CO153" s="199"/>
      <c r="CP153" s="199"/>
      <c r="CQ153" s="199"/>
      <c r="CR153" s="199"/>
      <c r="CS153" s="199"/>
      <c r="CT153" s="199"/>
    </row>
    <row r="154" spans="19:98" x14ac:dyDescent="0.25">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199"/>
      <c r="BE154" s="199"/>
      <c r="BF154" s="199"/>
      <c r="BG154" s="199"/>
      <c r="BH154" s="199"/>
      <c r="BI154" s="199"/>
      <c r="BJ154" s="199"/>
      <c r="BK154" s="199"/>
      <c r="BL154" s="199"/>
      <c r="BM154" s="199"/>
      <c r="BN154" s="199"/>
      <c r="BO154" s="199"/>
      <c r="BP154" s="199"/>
      <c r="BQ154" s="199"/>
      <c r="BR154" s="199"/>
      <c r="BS154" s="199"/>
      <c r="BT154" s="199"/>
      <c r="BU154" s="199"/>
      <c r="BV154" s="199"/>
      <c r="BW154" s="199"/>
      <c r="BX154" s="199"/>
      <c r="BY154" s="199"/>
      <c r="BZ154" s="199"/>
      <c r="CA154" s="199"/>
      <c r="CB154" s="199"/>
      <c r="CC154" s="199"/>
      <c r="CD154" s="199"/>
      <c r="CE154" s="199"/>
      <c r="CF154" s="199"/>
      <c r="CG154" s="199"/>
      <c r="CH154" s="199"/>
      <c r="CI154" s="199"/>
      <c r="CJ154" s="199"/>
      <c r="CK154" s="199"/>
      <c r="CL154" s="199"/>
      <c r="CM154" s="199"/>
      <c r="CN154" s="199"/>
      <c r="CO154" s="199"/>
      <c r="CP154" s="199"/>
      <c r="CQ154" s="199"/>
      <c r="CR154" s="199"/>
      <c r="CS154" s="199"/>
      <c r="CT154" s="199"/>
    </row>
    <row r="155" spans="19:98" x14ac:dyDescent="0.25">
      <c r="S155" s="199"/>
      <c r="T155" s="199"/>
      <c r="U155" s="199"/>
      <c r="V155" s="199"/>
      <c r="W155" s="199"/>
      <c r="X155" s="199"/>
      <c r="Y155" s="199"/>
      <c r="Z155" s="199"/>
      <c r="AA155" s="199"/>
      <c r="AB155" s="199"/>
      <c r="AC155" s="199"/>
      <c r="AD155" s="199"/>
      <c r="AE155" s="199"/>
      <c r="AF155" s="199"/>
      <c r="AG155" s="199"/>
      <c r="AH155" s="199"/>
      <c r="AI155" s="199"/>
      <c r="AJ155" s="199"/>
      <c r="AK155" s="199"/>
      <c r="AL155" s="199"/>
      <c r="AM155" s="199"/>
      <c r="AN155" s="199"/>
      <c r="AO155" s="199"/>
      <c r="AP155" s="199"/>
      <c r="AQ155" s="199"/>
      <c r="AR155" s="199"/>
      <c r="AS155" s="199"/>
      <c r="AT155" s="199"/>
      <c r="AU155" s="199"/>
      <c r="AV155" s="199"/>
      <c r="AW155" s="199"/>
      <c r="AX155" s="199"/>
      <c r="AY155" s="199"/>
      <c r="AZ155" s="199"/>
      <c r="BA155" s="199"/>
      <c r="BB155" s="199"/>
      <c r="BC155" s="199"/>
      <c r="BD155" s="199"/>
      <c r="BE155" s="199"/>
      <c r="BF155" s="199"/>
      <c r="BG155" s="199"/>
      <c r="BH155" s="199"/>
      <c r="BI155" s="199"/>
      <c r="BJ155" s="199"/>
      <c r="BK155" s="199"/>
      <c r="BL155" s="199"/>
      <c r="BM155" s="199"/>
      <c r="BN155" s="199"/>
      <c r="BO155" s="199"/>
      <c r="BP155" s="199"/>
      <c r="BQ155" s="199"/>
      <c r="BR155" s="199"/>
      <c r="BS155" s="199"/>
      <c r="BT155" s="199"/>
      <c r="BU155" s="199"/>
      <c r="BV155" s="199"/>
      <c r="BW155" s="199"/>
      <c r="BX155" s="199"/>
      <c r="BY155" s="199"/>
      <c r="BZ155" s="199"/>
      <c r="CA155" s="199"/>
      <c r="CB155" s="199"/>
      <c r="CC155" s="199"/>
      <c r="CD155" s="199"/>
      <c r="CE155" s="199"/>
      <c r="CF155" s="199"/>
      <c r="CG155" s="199"/>
      <c r="CH155" s="199"/>
      <c r="CI155" s="199"/>
      <c r="CJ155" s="199"/>
      <c r="CK155" s="199"/>
      <c r="CL155" s="199"/>
      <c r="CM155" s="199"/>
      <c r="CN155" s="199"/>
      <c r="CO155" s="199"/>
      <c r="CP155" s="199"/>
      <c r="CQ155" s="199"/>
      <c r="CR155" s="199"/>
      <c r="CS155" s="199"/>
      <c r="CT155" s="199"/>
    </row>
    <row r="156" spans="19:98" x14ac:dyDescent="0.25">
      <c r="S156" s="199"/>
      <c r="T156" s="199"/>
      <c r="U156" s="199"/>
      <c r="V156" s="199"/>
      <c r="W156" s="199"/>
      <c r="X156" s="199"/>
      <c r="Y156" s="199"/>
      <c r="Z156" s="199"/>
      <c r="AA156" s="199"/>
      <c r="AB156" s="199"/>
      <c r="AC156" s="199"/>
      <c r="AD156" s="199"/>
      <c r="AE156" s="199"/>
      <c r="AF156" s="199"/>
      <c r="AG156" s="199"/>
      <c r="AH156" s="199"/>
      <c r="AI156" s="199"/>
      <c r="AJ156" s="199"/>
      <c r="AK156" s="199"/>
      <c r="AL156" s="199"/>
      <c r="AM156" s="199"/>
      <c r="AN156" s="199"/>
      <c r="AO156" s="199"/>
      <c r="AP156" s="199"/>
      <c r="AQ156" s="199"/>
      <c r="AR156" s="199"/>
      <c r="AS156" s="199"/>
      <c r="AT156" s="199"/>
      <c r="AU156" s="199"/>
      <c r="AV156" s="199"/>
      <c r="AW156" s="199"/>
      <c r="AX156" s="199"/>
      <c r="AY156" s="199"/>
      <c r="AZ156" s="199"/>
      <c r="BA156" s="199"/>
      <c r="BB156" s="199"/>
      <c r="BC156" s="199"/>
      <c r="BD156" s="199"/>
      <c r="BE156" s="199"/>
      <c r="BF156" s="199"/>
      <c r="BG156" s="199"/>
      <c r="BH156" s="199"/>
      <c r="BI156" s="199"/>
      <c r="BJ156" s="199"/>
      <c r="BK156" s="199"/>
      <c r="BL156" s="199"/>
      <c r="BM156" s="199"/>
      <c r="BN156" s="199"/>
      <c r="BO156" s="199"/>
      <c r="BP156" s="199"/>
      <c r="BQ156" s="199"/>
      <c r="BR156" s="199"/>
      <c r="BS156" s="199"/>
      <c r="BT156" s="199"/>
      <c r="BU156" s="199"/>
      <c r="BV156" s="199"/>
      <c r="BW156" s="199"/>
      <c r="BX156" s="199"/>
      <c r="BY156" s="199"/>
      <c r="BZ156" s="199"/>
      <c r="CA156" s="199"/>
      <c r="CB156" s="199"/>
      <c r="CC156" s="199"/>
      <c r="CD156" s="199"/>
      <c r="CE156" s="199"/>
      <c r="CF156" s="199"/>
      <c r="CG156" s="199"/>
      <c r="CH156" s="199"/>
      <c r="CI156" s="199"/>
      <c r="CJ156" s="199"/>
      <c r="CK156" s="199"/>
      <c r="CL156" s="199"/>
      <c r="CM156" s="199"/>
      <c r="CN156" s="199"/>
      <c r="CO156" s="199"/>
      <c r="CP156" s="199"/>
      <c r="CQ156" s="199"/>
      <c r="CR156" s="199"/>
      <c r="CS156" s="199"/>
      <c r="CT156" s="199"/>
    </row>
    <row r="157" spans="19:98" x14ac:dyDescent="0.25">
      <c r="S157" s="199"/>
      <c r="T157" s="199"/>
      <c r="U157" s="199"/>
      <c r="V157" s="199"/>
      <c r="W157" s="199"/>
      <c r="X157" s="199"/>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199"/>
      <c r="BE157" s="199"/>
      <c r="BF157" s="199"/>
      <c r="BG157" s="199"/>
      <c r="BH157" s="199"/>
      <c r="BI157" s="199"/>
      <c r="BJ157" s="199"/>
      <c r="BK157" s="199"/>
      <c r="BL157" s="199"/>
      <c r="BM157" s="199"/>
      <c r="BN157" s="199"/>
      <c r="BO157" s="199"/>
      <c r="BP157" s="199"/>
      <c r="BQ157" s="199"/>
      <c r="BR157" s="199"/>
      <c r="BS157" s="199"/>
      <c r="BT157" s="199"/>
      <c r="BU157" s="199"/>
      <c r="BV157" s="199"/>
      <c r="BW157" s="199"/>
      <c r="BX157" s="199"/>
      <c r="BY157" s="199"/>
      <c r="BZ157" s="199"/>
      <c r="CA157" s="199"/>
      <c r="CB157" s="199"/>
      <c r="CC157" s="199"/>
      <c r="CD157" s="199"/>
      <c r="CE157" s="199"/>
      <c r="CF157" s="199"/>
      <c r="CG157" s="199"/>
      <c r="CH157" s="199"/>
      <c r="CI157" s="199"/>
      <c r="CJ157" s="199"/>
      <c r="CK157" s="199"/>
      <c r="CL157" s="199"/>
      <c r="CM157" s="199"/>
      <c r="CN157" s="199"/>
      <c r="CO157" s="199"/>
      <c r="CP157" s="199"/>
      <c r="CQ157" s="199"/>
      <c r="CR157" s="199"/>
      <c r="CS157" s="199"/>
      <c r="CT157" s="199"/>
    </row>
    <row r="158" spans="19:98" x14ac:dyDescent="0.25">
      <c r="S158" s="199"/>
      <c r="T158" s="199"/>
      <c r="U158" s="199"/>
      <c r="V158" s="199"/>
      <c r="W158" s="199"/>
      <c r="X158" s="199"/>
      <c r="Y158" s="199"/>
      <c r="Z158" s="199"/>
      <c r="AA158" s="199"/>
      <c r="AB158" s="199"/>
      <c r="AC158" s="199"/>
      <c r="AD158" s="199"/>
      <c r="AE158" s="199"/>
      <c r="AF158" s="199"/>
      <c r="AG158" s="199"/>
      <c r="AH158" s="199"/>
      <c r="AI158" s="199"/>
      <c r="AJ158" s="199"/>
      <c r="AK158" s="199"/>
      <c r="AL158" s="199"/>
      <c r="AM158" s="199"/>
      <c r="AN158" s="199"/>
      <c r="AO158" s="199"/>
      <c r="AP158" s="199"/>
      <c r="AQ158" s="199"/>
      <c r="AR158" s="199"/>
      <c r="AS158" s="199"/>
      <c r="AT158" s="199"/>
      <c r="AU158" s="199"/>
      <c r="AV158" s="199"/>
      <c r="AW158" s="199"/>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c r="BS158" s="199"/>
      <c r="BT158" s="199"/>
      <c r="BU158" s="199"/>
      <c r="BV158" s="199"/>
      <c r="BW158" s="199"/>
      <c r="BX158" s="199"/>
      <c r="BY158" s="199"/>
      <c r="BZ158" s="199"/>
      <c r="CA158" s="199"/>
      <c r="CB158" s="199"/>
      <c r="CC158" s="199"/>
      <c r="CD158" s="199"/>
      <c r="CE158" s="199"/>
      <c r="CF158" s="199"/>
      <c r="CG158" s="199"/>
      <c r="CH158" s="199"/>
      <c r="CI158" s="199"/>
      <c r="CJ158" s="199"/>
      <c r="CK158" s="199"/>
      <c r="CL158" s="199"/>
      <c r="CM158" s="199"/>
      <c r="CN158" s="199"/>
      <c r="CO158" s="199"/>
      <c r="CP158" s="199"/>
      <c r="CQ158" s="199"/>
      <c r="CR158" s="199"/>
      <c r="CS158" s="199"/>
      <c r="CT158" s="199"/>
    </row>
    <row r="159" spans="19:98" x14ac:dyDescent="0.25">
      <c r="S159" s="199"/>
      <c r="T159" s="199"/>
      <c r="U159" s="199"/>
      <c r="V159" s="199"/>
      <c r="W159" s="199"/>
      <c r="X159" s="199"/>
      <c r="Y159" s="199"/>
      <c r="Z159" s="199"/>
      <c r="AA159" s="199"/>
      <c r="AB159" s="199"/>
      <c r="AC159" s="199"/>
      <c r="AD159" s="199"/>
      <c r="AE159" s="199"/>
      <c r="AF159" s="199"/>
      <c r="AG159" s="199"/>
      <c r="AH159" s="199"/>
      <c r="AI159" s="199"/>
      <c r="AJ159" s="199"/>
      <c r="AK159" s="199"/>
      <c r="AL159" s="199"/>
      <c r="AM159" s="199"/>
      <c r="AN159" s="199"/>
      <c r="AO159" s="199"/>
      <c r="AP159" s="199"/>
      <c r="AQ159" s="199"/>
      <c r="AR159" s="199"/>
      <c r="AS159" s="199"/>
      <c r="AT159" s="199"/>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c r="BS159" s="199"/>
      <c r="BT159" s="199"/>
      <c r="BU159" s="199"/>
      <c r="BV159" s="199"/>
      <c r="BW159" s="199"/>
      <c r="BX159" s="199"/>
      <c r="BY159" s="199"/>
      <c r="BZ159" s="199"/>
      <c r="CA159" s="199"/>
      <c r="CB159" s="199"/>
      <c r="CC159" s="199"/>
      <c r="CD159" s="199"/>
      <c r="CE159" s="199"/>
      <c r="CF159" s="199"/>
      <c r="CG159" s="199"/>
      <c r="CH159" s="199"/>
      <c r="CI159" s="199"/>
      <c r="CJ159" s="199"/>
      <c r="CK159" s="199"/>
      <c r="CL159" s="199"/>
      <c r="CM159" s="199"/>
      <c r="CN159" s="199"/>
      <c r="CO159" s="199"/>
      <c r="CP159" s="199"/>
      <c r="CQ159" s="199"/>
      <c r="CR159" s="199"/>
      <c r="CS159" s="199"/>
      <c r="CT159" s="199"/>
    </row>
    <row r="160" spans="19:98" x14ac:dyDescent="0.25">
      <c r="S160" s="199"/>
      <c r="T160" s="199"/>
      <c r="U160" s="199"/>
      <c r="V160" s="199"/>
      <c r="W160" s="199"/>
      <c r="X160" s="199"/>
      <c r="Y160" s="199"/>
      <c r="Z160" s="199"/>
      <c r="AA160" s="199"/>
      <c r="AB160" s="199"/>
      <c r="AC160" s="199"/>
      <c r="AD160" s="199"/>
      <c r="AE160" s="199"/>
      <c r="AF160" s="199"/>
      <c r="AG160" s="199"/>
      <c r="AH160" s="199"/>
      <c r="AI160" s="199"/>
      <c r="AJ160" s="199"/>
      <c r="AK160" s="199"/>
      <c r="AL160" s="199"/>
      <c r="AM160" s="199"/>
      <c r="AN160" s="199"/>
      <c r="AO160" s="199"/>
      <c r="AP160" s="199"/>
      <c r="AQ160" s="199"/>
      <c r="AR160" s="199"/>
      <c r="AS160" s="199"/>
      <c r="AT160" s="199"/>
      <c r="AU160" s="199"/>
      <c r="AV160" s="199"/>
      <c r="AW160" s="199"/>
      <c r="AX160" s="199"/>
      <c r="AY160" s="199"/>
      <c r="AZ160" s="199"/>
      <c r="BA160" s="199"/>
      <c r="BB160" s="199"/>
      <c r="BC160" s="199"/>
      <c r="BD160" s="199"/>
      <c r="BE160" s="199"/>
      <c r="BF160" s="199"/>
      <c r="BG160" s="199"/>
      <c r="BH160" s="199"/>
      <c r="BI160" s="199"/>
      <c r="BJ160" s="199"/>
      <c r="BK160" s="199"/>
      <c r="BL160" s="199"/>
      <c r="BM160" s="199"/>
      <c r="BN160" s="199"/>
      <c r="BO160" s="199"/>
      <c r="BP160" s="199"/>
      <c r="BQ160" s="199"/>
      <c r="BR160" s="199"/>
      <c r="BS160" s="199"/>
      <c r="BT160" s="199"/>
      <c r="BU160" s="199"/>
      <c r="BV160" s="199"/>
      <c r="BW160" s="199"/>
      <c r="BX160" s="199"/>
      <c r="BY160" s="199"/>
      <c r="BZ160" s="199"/>
      <c r="CA160" s="199"/>
      <c r="CB160" s="199"/>
      <c r="CC160" s="199"/>
      <c r="CD160" s="199"/>
      <c r="CE160" s="199"/>
      <c r="CF160" s="199"/>
      <c r="CG160" s="199"/>
      <c r="CH160" s="199"/>
      <c r="CI160" s="199"/>
      <c r="CJ160" s="199"/>
      <c r="CK160" s="199"/>
      <c r="CL160" s="199"/>
      <c r="CM160" s="199"/>
      <c r="CN160" s="199"/>
      <c r="CO160" s="199"/>
      <c r="CP160" s="199"/>
      <c r="CQ160" s="199"/>
      <c r="CR160" s="199"/>
      <c r="CS160" s="199"/>
      <c r="CT160" s="199"/>
    </row>
    <row r="161" spans="19:98" x14ac:dyDescent="0.25">
      <c r="S161" s="199"/>
      <c r="T161" s="199"/>
      <c r="U161" s="199"/>
      <c r="V161" s="199"/>
      <c r="W161" s="199"/>
      <c r="X161" s="199"/>
      <c r="Y161" s="199"/>
      <c r="Z161" s="199"/>
      <c r="AA161" s="199"/>
      <c r="AB161" s="199"/>
      <c r="AC161" s="199"/>
      <c r="AD161" s="199"/>
      <c r="AE161" s="199"/>
      <c r="AF161" s="199"/>
      <c r="AG161" s="199"/>
      <c r="AH161" s="199"/>
      <c r="AI161" s="199"/>
      <c r="AJ161" s="199"/>
      <c r="AK161" s="199"/>
      <c r="AL161" s="199"/>
      <c r="AM161" s="199"/>
      <c r="AN161" s="199"/>
      <c r="AO161" s="199"/>
      <c r="AP161" s="199"/>
      <c r="AQ161" s="199"/>
      <c r="AR161" s="199"/>
      <c r="AS161" s="199"/>
      <c r="AT161" s="199"/>
      <c r="AU161" s="199"/>
      <c r="AV161" s="199"/>
      <c r="AW161" s="199"/>
      <c r="AX161" s="199"/>
      <c r="AY161" s="199"/>
      <c r="AZ161" s="199"/>
      <c r="BA161" s="199"/>
      <c r="BB161" s="199"/>
      <c r="BC161" s="199"/>
      <c r="BD161" s="199"/>
      <c r="BE161" s="199"/>
      <c r="BF161" s="199"/>
      <c r="BG161" s="199"/>
      <c r="BH161" s="199"/>
      <c r="BI161" s="199"/>
      <c r="BJ161" s="199"/>
      <c r="BK161" s="199"/>
      <c r="BL161" s="199"/>
      <c r="BM161" s="199"/>
      <c r="BN161" s="199"/>
      <c r="BO161" s="199"/>
      <c r="BP161" s="199"/>
      <c r="BQ161" s="199"/>
      <c r="BR161" s="199"/>
      <c r="BS161" s="199"/>
      <c r="BT161" s="199"/>
      <c r="BU161" s="199"/>
      <c r="BV161" s="199"/>
      <c r="BW161" s="199"/>
      <c r="BX161" s="199"/>
      <c r="BY161" s="199"/>
      <c r="BZ161" s="199"/>
      <c r="CA161" s="199"/>
      <c r="CB161" s="199"/>
      <c r="CC161" s="199"/>
      <c r="CD161" s="199"/>
      <c r="CE161" s="199"/>
      <c r="CF161" s="199"/>
      <c r="CG161" s="199"/>
      <c r="CH161" s="199"/>
      <c r="CI161" s="199"/>
      <c r="CJ161" s="199"/>
      <c r="CK161" s="199"/>
      <c r="CL161" s="199"/>
      <c r="CM161" s="199"/>
      <c r="CN161" s="199"/>
      <c r="CO161" s="199"/>
      <c r="CP161" s="199"/>
      <c r="CQ161" s="199"/>
      <c r="CR161" s="199"/>
      <c r="CS161" s="199"/>
      <c r="CT161" s="199"/>
    </row>
    <row r="162" spans="19:98" x14ac:dyDescent="0.25">
      <c r="S162" s="199"/>
      <c r="T162" s="199"/>
      <c r="U162" s="199"/>
      <c r="V162" s="199"/>
      <c r="W162" s="199"/>
      <c r="X162" s="199"/>
      <c r="Y162" s="199"/>
      <c r="Z162" s="199"/>
      <c r="AA162" s="199"/>
      <c r="AB162" s="199"/>
      <c r="AC162" s="199"/>
      <c r="AD162" s="199"/>
      <c r="AE162" s="199"/>
      <c r="AF162" s="199"/>
      <c r="AG162" s="199"/>
      <c r="AH162" s="199"/>
      <c r="AI162" s="199"/>
      <c r="AJ162" s="199"/>
      <c r="AK162" s="199"/>
      <c r="AL162" s="199"/>
      <c r="AM162" s="199"/>
      <c r="AN162" s="199"/>
      <c r="AO162" s="199"/>
      <c r="AP162" s="199"/>
      <c r="AQ162" s="199"/>
      <c r="AR162" s="199"/>
      <c r="AS162" s="199"/>
      <c r="AT162" s="199"/>
      <c r="AU162" s="199"/>
      <c r="AV162" s="199"/>
      <c r="AW162" s="199"/>
      <c r="AX162" s="199"/>
      <c r="AY162" s="199"/>
      <c r="AZ162" s="199"/>
      <c r="BA162" s="199"/>
      <c r="BB162" s="199"/>
      <c r="BC162" s="199"/>
      <c r="BD162" s="199"/>
      <c r="BE162" s="199"/>
      <c r="BF162" s="199"/>
      <c r="BG162" s="199"/>
      <c r="BH162" s="199"/>
      <c r="BI162" s="199"/>
      <c r="BJ162" s="199"/>
      <c r="BK162" s="199"/>
      <c r="BL162" s="199"/>
      <c r="BM162" s="199"/>
      <c r="BN162" s="199"/>
      <c r="BO162" s="199"/>
      <c r="BP162" s="199"/>
      <c r="BQ162" s="199"/>
      <c r="BR162" s="199"/>
      <c r="BS162" s="199"/>
      <c r="BT162" s="199"/>
      <c r="BU162" s="199"/>
      <c r="BV162" s="199"/>
      <c r="BW162" s="199"/>
      <c r="BX162" s="199"/>
      <c r="BY162" s="199"/>
      <c r="BZ162" s="199"/>
      <c r="CA162" s="199"/>
      <c r="CB162" s="199"/>
      <c r="CC162" s="199"/>
      <c r="CD162" s="199"/>
      <c r="CE162" s="199"/>
      <c r="CF162" s="199"/>
      <c r="CG162" s="199"/>
      <c r="CH162" s="199"/>
      <c r="CI162" s="199"/>
      <c r="CJ162" s="199"/>
      <c r="CK162" s="199"/>
      <c r="CL162" s="199"/>
      <c r="CM162" s="199"/>
      <c r="CN162" s="199"/>
      <c r="CO162" s="199"/>
      <c r="CP162" s="199"/>
      <c r="CQ162" s="199"/>
      <c r="CR162" s="199"/>
      <c r="CS162" s="199"/>
      <c r="CT162" s="199"/>
    </row>
    <row r="163" spans="19:98" x14ac:dyDescent="0.25">
      <c r="S163" s="199"/>
      <c r="T163" s="199"/>
      <c r="U163" s="199"/>
      <c r="V163" s="199"/>
      <c r="W163" s="199"/>
      <c r="X163" s="199"/>
      <c r="Y163" s="199"/>
      <c r="Z163" s="199"/>
      <c r="AA163" s="199"/>
      <c r="AB163" s="199"/>
      <c r="AC163" s="199"/>
      <c r="AD163" s="199"/>
      <c r="AE163" s="199"/>
      <c r="AF163" s="199"/>
      <c r="AG163" s="199"/>
      <c r="AH163" s="199"/>
      <c r="AI163" s="199"/>
      <c r="AJ163" s="199"/>
      <c r="AK163" s="199"/>
      <c r="AL163" s="199"/>
      <c r="AM163" s="199"/>
      <c r="AN163" s="199"/>
      <c r="AO163" s="199"/>
      <c r="AP163" s="199"/>
      <c r="AQ163" s="199"/>
      <c r="AR163" s="199"/>
      <c r="AS163" s="199"/>
      <c r="AT163" s="199"/>
      <c r="AU163" s="199"/>
      <c r="AV163" s="199"/>
      <c r="AW163" s="199"/>
      <c r="AX163" s="199"/>
      <c r="AY163" s="199"/>
      <c r="AZ163" s="199"/>
      <c r="BA163" s="199"/>
      <c r="BB163" s="199"/>
      <c r="BC163" s="199"/>
      <c r="BD163" s="199"/>
      <c r="BE163" s="199"/>
      <c r="BF163" s="199"/>
      <c r="BG163" s="199"/>
      <c r="BH163" s="199"/>
      <c r="BI163" s="199"/>
      <c r="BJ163" s="199"/>
      <c r="BK163" s="199"/>
      <c r="BL163" s="199"/>
      <c r="BM163" s="199"/>
      <c r="BN163" s="199"/>
      <c r="BO163" s="199"/>
      <c r="BP163" s="199"/>
      <c r="BQ163" s="199"/>
      <c r="BR163" s="199"/>
      <c r="BS163" s="199"/>
      <c r="BT163" s="199"/>
      <c r="BU163" s="199"/>
      <c r="BV163" s="199"/>
      <c r="BW163" s="199"/>
      <c r="BX163" s="199"/>
      <c r="BY163" s="199"/>
      <c r="BZ163" s="199"/>
      <c r="CA163" s="199"/>
      <c r="CB163" s="199"/>
      <c r="CC163" s="199"/>
      <c r="CD163" s="199"/>
      <c r="CE163" s="199"/>
      <c r="CF163" s="199"/>
      <c r="CG163" s="199"/>
      <c r="CH163" s="199"/>
      <c r="CI163" s="199"/>
      <c r="CJ163" s="199"/>
      <c r="CK163" s="199"/>
      <c r="CL163" s="199"/>
      <c r="CM163" s="199"/>
      <c r="CN163" s="199"/>
      <c r="CO163" s="199"/>
      <c r="CP163" s="199"/>
      <c r="CQ163" s="199"/>
      <c r="CR163" s="199"/>
      <c r="CS163" s="199"/>
      <c r="CT163" s="199"/>
    </row>
    <row r="164" spans="19:98" x14ac:dyDescent="0.25">
      <c r="S164" s="199"/>
      <c r="T164" s="199"/>
      <c r="U164" s="199"/>
      <c r="V164" s="199"/>
      <c r="W164" s="199"/>
      <c r="X164" s="199"/>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c r="AW164" s="199"/>
      <c r="AX164" s="199"/>
      <c r="AY164" s="199"/>
      <c r="AZ164" s="199"/>
      <c r="BA164" s="199"/>
      <c r="BB164" s="199"/>
      <c r="BC164" s="199"/>
      <c r="BD164" s="199"/>
      <c r="BE164" s="199"/>
      <c r="BF164" s="199"/>
      <c r="BG164" s="199"/>
      <c r="BH164" s="199"/>
      <c r="BI164" s="199"/>
      <c r="BJ164" s="199"/>
      <c r="BK164" s="199"/>
      <c r="BL164" s="199"/>
      <c r="BM164" s="199"/>
      <c r="BN164" s="199"/>
      <c r="BO164" s="199"/>
      <c r="BP164" s="199"/>
      <c r="BQ164" s="199"/>
      <c r="BR164" s="199"/>
      <c r="BS164" s="199"/>
      <c r="BT164" s="199"/>
      <c r="BU164" s="199"/>
      <c r="BV164" s="199"/>
      <c r="BW164" s="199"/>
      <c r="BX164" s="199"/>
      <c r="BY164" s="199"/>
      <c r="BZ164" s="199"/>
      <c r="CA164" s="199"/>
      <c r="CB164" s="199"/>
      <c r="CC164" s="199"/>
      <c r="CD164" s="199"/>
      <c r="CE164" s="199"/>
      <c r="CF164" s="199"/>
      <c r="CG164" s="199"/>
      <c r="CH164" s="199"/>
      <c r="CI164" s="199"/>
      <c r="CJ164" s="199"/>
      <c r="CK164" s="199"/>
      <c r="CL164" s="199"/>
      <c r="CM164" s="199"/>
      <c r="CN164" s="199"/>
      <c r="CO164" s="199"/>
      <c r="CP164" s="199"/>
      <c r="CQ164" s="199"/>
      <c r="CR164" s="199"/>
      <c r="CS164" s="199"/>
      <c r="CT164" s="199"/>
    </row>
    <row r="165" spans="19:98" x14ac:dyDescent="0.25">
      <c r="S165" s="199"/>
      <c r="T165" s="199"/>
      <c r="U165" s="199"/>
      <c r="V165" s="199"/>
      <c r="W165" s="199"/>
      <c r="X165" s="199"/>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c r="AW165" s="199"/>
      <c r="AX165" s="199"/>
      <c r="AY165" s="199"/>
      <c r="AZ165" s="199"/>
      <c r="BA165" s="199"/>
      <c r="BB165" s="199"/>
      <c r="BC165" s="199"/>
      <c r="BD165" s="199"/>
      <c r="BE165" s="199"/>
      <c r="BF165" s="199"/>
      <c r="BG165" s="199"/>
      <c r="BH165" s="199"/>
      <c r="BI165" s="199"/>
      <c r="BJ165" s="199"/>
      <c r="BK165" s="199"/>
      <c r="BL165" s="199"/>
      <c r="BM165" s="199"/>
      <c r="BN165" s="199"/>
      <c r="BO165" s="199"/>
      <c r="BP165" s="199"/>
      <c r="BQ165" s="199"/>
      <c r="BR165" s="199"/>
      <c r="BS165" s="199"/>
      <c r="BT165" s="199"/>
      <c r="BU165" s="199"/>
      <c r="BV165" s="199"/>
      <c r="BW165" s="199"/>
      <c r="BX165" s="199"/>
      <c r="BY165" s="199"/>
      <c r="BZ165" s="199"/>
      <c r="CA165" s="199"/>
      <c r="CB165" s="199"/>
      <c r="CC165" s="199"/>
      <c r="CD165" s="199"/>
      <c r="CE165" s="199"/>
      <c r="CF165" s="199"/>
      <c r="CG165" s="199"/>
      <c r="CH165" s="199"/>
      <c r="CI165" s="199"/>
      <c r="CJ165" s="199"/>
      <c r="CK165" s="199"/>
      <c r="CL165" s="199"/>
      <c r="CM165" s="199"/>
      <c r="CN165" s="199"/>
      <c r="CO165" s="199"/>
      <c r="CP165" s="199"/>
      <c r="CQ165" s="199"/>
      <c r="CR165" s="199"/>
      <c r="CS165" s="199"/>
      <c r="CT165" s="199"/>
    </row>
    <row r="166" spans="19:98" x14ac:dyDescent="0.25">
      <c r="S166" s="199"/>
      <c r="T166" s="199"/>
      <c r="U166" s="199"/>
      <c r="V166" s="199"/>
      <c r="W166" s="199"/>
      <c r="X166" s="199"/>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c r="AW166" s="199"/>
      <c r="AX166" s="199"/>
      <c r="AY166" s="199"/>
      <c r="AZ166" s="199"/>
      <c r="BA166" s="199"/>
      <c r="BB166" s="199"/>
      <c r="BC166" s="199"/>
      <c r="BD166" s="199"/>
      <c r="BE166" s="199"/>
      <c r="BF166" s="199"/>
      <c r="BG166" s="199"/>
      <c r="BH166" s="199"/>
      <c r="BI166" s="199"/>
      <c r="BJ166" s="199"/>
      <c r="BK166" s="199"/>
      <c r="BL166" s="199"/>
      <c r="BM166" s="199"/>
      <c r="BN166" s="199"/>
      <c r="BO166" s="199"/>
      <c r="BP166" s="199"/>
      <c r="BQ166" s="199"/>
      <c r="BR166" s="199"/>
      <c r="BS166" s="199"/>
      <c r="BT166" s="199"/>
      <c r="BU166" s="199"/>
      <c r="BV166" s="199"/>
      <c r="BW166" s="199"/>
      <c r="BX166" s="199"/>
      <c r="BY166" s="199"/>
      <c r="BZ166" s="199"/>
      <c r="CA166" s="199"/>
      <c r="CB166" s="199"/>
      <c r="CC166" s="199"/>
      <c r="CD166" s="199"/>
      <c r="CE166" s="199"/>
      <c r="CF166" s="199"/>
      <c r="CG166" s="199"/>
      <c r="CH166" s="199"/>
      <c r="CI166" s="199"/>
      <c r="CJ166" s="199"/>
      <c r="CK166" s="199"/>
      <c r="CL166" s="199"/>
      <c r="CM166" s="199"/>
      <c r="CN166" s="199"/>
      <c r="CO166" s="199"/>
      <c r="CP166" s="199"/>
      <c r="CQ166" s="199"/>
      <c r="CR166" s="199"/>
      <c r="CS166" s="199"/>
      <c r="CT166" s="199"/>
    </row>
    <row r="167" spans="19:98" x14ac:dyDescent="0.25">
      <c r="S167" s="199"/>
      <c r="T167" s="199"/>
      <c r="U167" s="199"/>
      <c r="V167" s="199"/>
      <c r="W167" s="199"/>
      <c r="X167" s="199"/>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c r="AW167" s="199"/>
      <c r="AX167" s="199"/>
      <c r="AY167" s="199"/>
      <c r="AZ167" s="199"/>
      <c r="BA167" s="199"/>
      <c r="BB167" s="199"/>
      <c r="BC167" s="199"/>
      <c r="BD167" s="199"/>
      <c r="BE167" s="199"/>
      <c r="BF167" s="199"/>
      <c r="BG167" s="199"/>
      <c r="BH167" s="199"/>
      <c r="BI167" s="199"/>
      <c r="BJ167" s="199"/>
      <c r="BK167" s="199"/>
      <c r="BL167" s="199"/>
      <c r="BM167" s="199"/>
      <c r="BN167" s="199"/>
      <c r="BO167" s="199"/>
      <c r="BP167" s="199"/>
      <c r="BQ167" s="199"/>
      <c r="BR167" s="199"/>
      <c r="BS167" s="199"/>
      <c r="BT167" s="199"/>
      <c r="BU167" s="199"/>
      <c r="BV167" s="199"/>
      <c r="BW167" s="199"/>
      <c r="BX167" s="199"/>
      <c r="BY167" s="199"/>
      <c r="BZ167" s="199"/>
      <c r="CA167" s="199"/>
      <c r="CB167" s="199"/>
      <c r="CC167" s="199"/>
      <c r="CD167" s="199"/>
      <c r="CE167" s="199"/>
      <c r="CF167" s="199"/>
      <c r="CG167" s="199"/>
      <c r="CH167" s="199"/>
      <c r="CI167" s="199"/>
      <c r="CJ167" s="199"/>
      <c r="CK167" s="199"/>
      <c r="CL167" s="199"/>
      <c r="CM167" s="199"/>
      <c r="CN167" s="199"/>
      <c r="CO167" s="199"/>
      <c r="CP167" s="199"/>
      <c r="CQ167" s="199"/>
      <c r="CR167" s="199"/>
      <c r="CS167" s="199"/>
      <c r="CT167" s="199"/>
    </row>
    <row r="168" spans="19:98" x14ac:dyDescent="0.25">
      <c r="S168" s="199"/>
      <c r="T168" s="199"/>
      <c r="U168" s="199"/>
      <c r="V168" s="199"/>
      <c r="W168" s="199"/>
      <c r="X168" s="199"/>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c r="AW168" s="199"/>
      <c r="AX168" s="199"/>
      <c r="AY168" s="199"/>
      <c r="AZ168" s="199"/>
      <c r="BA168" s="199"/>
      <c r="BB168" s="199"/>
      <c r="BC168" s="199"/>
      <c r="BD168" s="199"/>
      <c r="BE168" s="199"/>
      <c r="BF168" s="199"/>
      <c r="BG168" s="199"/>
      <c r="BH168" s="199"/>
      <c r="BI168" s="199"/>
      <c r="BJ168" s="199"/>
      <c r="BK168" s="199"/>
      <c r="BL168" s="199"/>
      <c r="BM168" s="199"/>
      <c r="BN168" s="199"/>
      <c r="BO168" s="199"/>
      <c r="BP168" s="199"/>
      <c r="BQ168" s="199"/>
      <c r="BR168" s="199"/>
      <c r="BS168" s="199"/>
      <c r="BT168" s="199"/>
      <c r="BU168" s="199"/>
      <c r="BV168" s="199"/>
      <c r="BW168" s="199"/>
      <c r="BX168" s="199"/>
      <c r="BY168" s="199"/>
      <c r="BZ168" s="199"/>
      <c r="CA168" s="199"/>
      <c r="CB168" s="199"/>
      <c r="CC168" s="199"/>
      <c r="CD168" s="199"/>
      <c r="CE168" s="199"/>
      <c r="CF168" s="199"/>
      <c r="CG168" s="199"/>
      <c r="CH168" s="199"/>
      <c r="CI168" s="199"/>
      <c r="CJ168" s="199"/>
      <c r="CK168" s="199"/>
      <c r="CL168" s="199"/>
      <c r="CM168" s="199"/>
      <c r="CN168" s="199"/>
      <c r="CO168" s="199"/>
      <c r="CP168" s="199"/>
      <c r="CQ168" s="199"/>
      <c r="CR168" s="199"/>
      <c r="CS168" s="199"/>
      <c r="CT168" s="199"/>
    </row>
    <row r="169" spans="19:98" x14ac:dyDescent="0.25">
      <c r="S169" s="199"/>
      <c r="T169" s="199"/>
      <c r="U169" s="199"/>
      <c r="V169" s="199"/>
      <c r="W169" s="199"/>
      <c r="X169" s="199"/>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c r="AW169" s="199"/>
      <c r="AX169" s="199"/>
      <c r="AY169" s="199"/>
      <c r="AZ169" s="199"/>
      <c r="BA169" s="199"/>
      <c r="BB169" s="199"/>
      <c r="BC169" s="199"/>
      <c r="BD169" s="199"/>
      <c r="BE169" s="199"/>
      <c r="BF169" s="199"/>
      <c r="BG169" s="199"/>
      <c r="BH169" s="199"/>
      <c r="BI169" s="199"/>
      <c r="BJ169" s="199"/>
      <c r="BK169" s="199"/>
      <c r="BL169" s="199"/>
      <c r="BM169" s="199"/>
      <c r="BN169" s="199"/>
      <c r="BO169" s="199"/>
      <c r="BP169" s="199"/>
      <c r="BQ169" s="199"/>
      <c r="BR169" s="199"/>
      <c r="BS169" s="199"/>
      <c r="BT169" s="199"/>
      <c r="BU169" s="199"/>
      <c r="BV169" s="199"/>
      <c r="BW169" s="199"/>
      <c r="BX169" s="199"/>
      <c r="BY169" s="199"/>
      <c r="BZ169" s="199"/>
      <c r="CA169" s="199"/>
      <c r="CB169" s="199"/>
      <c r="CC169" s="199"/>
      <c r="CD169" s="199"/>
      <c r="CE169" s="199"/>
      <c r="CF169" s="199"/>
      <c r="CG169" s="199"/>
      <c r="CH169" s="199"/>
      <c r="CI169" s="199"/>
      <c r="CJ169" s="199"/>
      <c r="CK169" s="199"/>
      <c r="CL169" s="199"/>
      <c r="CM169" s="199"/>
      <c r="CN169" s="199"/>
      <c r="CO169" s="199"/>
      <c r="CP169" s="199"/>
      <c r="CQ169" s="199"/>
      <c r="CR169" s="199"/>
      <c r="CS169" s="199"/>
      <c r="CT169" s="199"/>
    </row>
    <row r="170" spans="19:98" x14ac:dyDescent="0.25">
      <c r="S170" s="199"/>
      <c r="T170" s="199"/>
      <c r="U170" s="199"/>
      <c r="V170" s="199"/>
      <c r="W170" s="199"/>
      <c r="X170" s="199"/>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c r="AW170" s="199"/>
      <c r="AX170" s="199"/>
      <c r="AY170" s="199"/>
      <c r="AZ170" s="199"/>
      <c r="BA170" s="199"/>
      <c r="BB170" s="199"/>
      <c r="BC170" s="199"/>
      <c r="BD170" s="199"/>
      <c r="BE170" s="199"/>
      <c r="BF170" s="199"/>
      <c r="BG170" s="199"/>
      <c r="BH170" s="199"/>
      <c r="BI170" s="199"/>
      <c r="BJ170" s="199"/>
      <c r="BK170" s="199"/>
      <c r="BL170" s="199"/>
      <c r="BM170" s="199"/>
      <c r="BN170" s="199"/>
      <c r="BO170" s="199"/>
      <c r="BP170" s="199"/>
      <c r="BQ170" s="199"/>
      <c r="BR170" s="199"/>
      <c r="BS170" s="199"/>
      <c r="BT170" s="199"/>
      <c r="BU170" s="199"/>
      <c r="BV170" s="199"/>
      <c r="BW170" s="199"/>
      <c r="BX170" s="199"/>
      <c r="BY170" s="199"/>
      <c r="BZ170" s="199"/>
      <c r="CA170" s="199"/>
      <c r="CB170" s="199"/>
      <c r="CC170" s="199"/>
      <c r="CD170" s="199"/>
      <c r="CE170" s="199"/>
      <c r="CF170" s="199"/>
      <c r="CG170" s="199"/>
      <c r="CH170" s="199"/>
      <c r="CI170" s="199"/>
      <c r="CJ170" s="199"/>
      <c r="CK170" s="199"/>
      <c r="CL170" s="199"/>
      <c r="CM170" s="199"/>
      <c r="CN170" s="199"/>
      <c r="CO170" s="199"/>
      <c r="CP170" s="199"/>
      <c r="CQ170" s="199"/>
      <c r="CR170" s="199"/>
      <c r="CS170" s="199"/>
      <c r="CT170" s="199"/>
    </row>
    <row r="171" spans="19:98" x14ac:dyDescent="0.25">
      <c r="S171" s="199"/>
      <c r="T171" s="199"/>
      <c r="U171" s="199"/>
      <c r="V171" s="199"/>
      <c r="W171" s="199"/>
      <c r="X171" s="199"/>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c r="CK171" s="199"/>
      <c r="CL171" s="199"/>
      <c r="CM171" s="199"/>
      <c r="CN171" s="199"/>
      <c r="CO171" s="199"/>
      <c r="CP171" s="199"/>
      <c r="CQ171" s="199"/>
      <c r="CR171" s="199"/>
      <c r="CS171" s="199"/>
      <c r="CT171" s="199"/>
    </row>
    <row r="172" spans="19:98" x14ac:dyDescent="0.25">
      <c r="S172" s="199"/>
      <c r="T172" s="199"/>
      <c r="U172" s="199"/>
      <c r="V172" s="199"/>
      <c r="W172" s="199"/>
      <c r="X172" s="199"/>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c r="AW172" s="199"/>
      <c r="AX172" s="199"/>
      <c r="AY172" s="199"/>
      <c r="AZ172" s="199"/>
      <c r="BA172" s="199"/>
      <c r="BB172" s="199"/>
      <c r="BC172" s="199"/>
      <c r="BD172" s="199"/>
      <c r="BE172" s="199"/>
      <c r="BF172" s="199"/>
      <c r="BG172" s="199"/>
      <c r="BH172" s="199"/>
      <c r="BI172" s="199"/>
      <c r="BJ172" s="199"/>
      <c r="BK172" s="199"/>
      <c r="BL172" s="199"/>
      <c r="BM172" s="199"/>
      <c r="BN172" s="199"/>
      <c r="BO172" s="199"/>
      <c r="BP172" s="199"/>
      <c r="BQ172" s="199"/>
      <c r="BR172" s="199"/>
      <c r="BS172" s="199"/>
      <c r="BT172" s="199"/>
      <c r="BU172" s="199"/>
      <c r="BV172" s="199"/>
      <c r="BW172" s="199"/>
      <c r="BX172" s="199"/>
      <c r="BY172" s="199"/>
      <c r="BZ172" s="199"/>
      <c r="CA172" s="199"/>
      <c r="CB172" s="199"/>
      <c r="CC172" s="199"/>
      <c r="CD172" s="199"/>
      <c r="CE172" s="199"/>
      <c r="CF172" s="199"/>
      <c r="CG172" s="199"/>
      <c r="CH172" s="199"/>
      <c r="CI172" s="199"/>
      <c r="CJ172" s="199"/>
      <c r="CK172" s="199"/>
      <c r="CL172" s="199"/>
      <c r="CM172" s="199"/>
      <c r="CN172" s="199"/>
      <c r="CO172" s="199"/>
      <c r="CP172" s="199"/>
      <c r="CQ172" s="199"/>
      <c r="CR172" s="199"/>
      <c r="CS172" s="199"/>
      <c r="CT172" s="199"/>
    </row>
    <row r="173" spans="19:98" x14ac:dyDescent="0.25">
      <c r="S173" s="199"/>
      <c r="T173" s="199"/>
      <c r="U173" s="199"/>
      <c r="V173" s="199"/>
      <c r="W173" s="199"/>
      <c r="X173" s="199"/>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c r="AW173" s="199"/>
      <c r="AX173" s="199"/>
      <c r="AY173" s="199"/>
      <c r="AZ173" s="199"/>
      <c r="BA173" s="199"/>
      <c r="BB173" s="199"/>
      <c r="BC173" s="199"/>
      <c r="BD173" s="199"/>
      <c r="BE173" s="199"/>
      <c r="BF173" s="199"/>
      <c r="BG173" s="199"/>
      <c r="BH173" s="199"/>
      <c r="BI173" s="199"/>
      <c r="BJ173" s="199"/>
      <c r="BK173" s="199"/>
      <c r="BL173" s="199"/>
      <c r="BM173" s="199"/>
      <c r="BN173" s="199"/>
      <c r="BO173" s="199"/>
      <c r="BP173" s="199"/>
      <c r="BQ173" s="199"/>
      <c r="BR173" s="199"/>
      <c r="BS173" s="199"/>
      <c r="BT173" s="199"/>
      <c r="BU173" s="199"/>
      <c r="BV173" s="199"/>
      <c r="BW173" s="199"/>
      <c r="BX173" s="199"/>
      <c r="BY173" s="199"/>
      <c r="BZ173" s="199"/>
      <c r="CA173" s="199"/>
      <c r="CB173" s="199"/>
      <c r="CC173" s="199"/>
      <c r="CD173" s="199"/>
      <c r="CE173" s="199"/>
      <c r="CF173" s="199"/>
      <c r="CG173" s="199"/>
      <c r="CH173" s="199"/>
      <c r="CI173" s="199"/>
      <c r="CJ173" s="199"/>
      <c r="CK173" s="199"/>
      <c r="CL173" s="199"/>
      <c r="CM173" s="199"/>
      <c r="CN173" s="199"/>
      <c r="CO173" s="199"/>
      <c r="CP173" s="199"/>
      <c r="CQ173" s="199"/>
      <c r="CR173" s="199"/>
      <c r="CS173" s="199"/>
      <c r="CT173" s="199"/>
    </row>
    <row r="174" spans="19:98" x14ac:dyDescent="0.25">
      <c r="S174" s="199"/>
      <c r="T174" s="199"/>
      <c r="U174" s="199"/>
      <c r="V174" s="199"/>
      <c r="W174" s="199"/>
      <c r="X174" s="199"/>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c r="AW174" s="199"/>
      <c r="AX174" s="199"/>
      <c r="AY174" s="199"/>
      <c r="AZ174" s="199"/>
      <c r="BA174" s="199"/>
      <c r="BB174" s="199"/>
      <c r="BC174" s="199"/>
      <c r="BD174" s="199"/>
      <c r="BE174" s="199"/>
      <c r="BF174" s="199"/>
      <c r="BG174" s="199"/>
      <c r="BH174" s="199"/>
      <c r="BI174" s="199"/>
      <c r="BJ174" s="199"/>
      <c r="BK174" s="199"/>
      <c r="BL174" s="199"/>
      <c r="BM174" s="199"/>
      <c r="BN174" s="199"/>
      <c r="BO174" s="199"/>
      <c r="BP174" s="199"/>
      <c r="BQ174" s="199"/>
      <c r="BR174" s="199"/>
      <c r="BS174" s="199"/>
      <c r="BT174" s="199"/>
      <c r="BU174" s="199"/>
      <c r="BV174" s="199"/>
      <c r="BW174" s="199"/>
      <c r="BX174" s="199"/>
      <c r="BY174" s="199"/>
      <c r="BZ174" s="199"/>
      <c r="CA174" s="199"/>
      <c r="CB174" s="199"/>
      <c r="CC174" s="199"/>
      <c r="CD174" s="199"/>
      <c r="CE174" s="199"/>
      <c r="CF174" s="199"/>
      <c r="CG174" s="199"/>
      <c r="CH174" s="199"/>
      <c r="CI174" s="199"/>
      <c r="CJ174" s="199"/>
      <c r="CK174" s="199"/>
      <c r="CL174" s="199"/>
      <c r="CM174" s="199"/>
      <c r="CN174" s="199"/>
      <c r="CO174" s="199"/>
      <c r="CP174" s="199"/>
      <c r="CQ174" s="199"/>
      <c r="CR174" s="199"/>
      <c r="CS174" s="199"/>
      <c r="CT174" s="199"/>
    </row>
    <row r="175" spans="19:98" x14ac:dyDescent="0.25">
      <c r="S175" s="199"/>
      <c r="T175" s="199"/>
      <c r="U175" s="199"/>
      <c r="V175" s="199"/>
      <c r="W175" s="199"/>
      <c r="X175" s="199"/>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c r="AW175" s="199"/>
      <c r="AX175" s="199"/>
      <c r="AY175" s="199"/>
      <c r="AZ175" s="199"/>
      <c r="BA175" s="199"/>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c r="CK175" s="199"/>
      <c r="CL175" s="199"/>
      <c r="CM175" s="199"/>
      <c r="CN175" s="199"/>
      <c r="CO175" s="199"/>
      <c r="CP175" s="199"/>
      <c r="CQ175" s="199"/>
      <c r="CR175" s="199"/>
      <c r="CS175" s="199"/>
      <c r="CT175" s="199"/>
    </row>
    <row r="176" spans="19:98" x14ac:dyDescent="0.25">
      <c r="S176" s="199"/>
      <c r="T176" s="199"/>
      <c r="U176" s="199"/>
      <c r="V176" s="199"/>
      <c r="W176" s="199"/>
      <c r="X176" s="199"/>
      <c r="Y176" s="199"/>
      <c r="Z176" s="199"/>
      <c r="AA176" s="199"/>
      <c r="AB176" s="199"/>
      <c r="AC176" s="199"/>
      <c r="AD176" s="199"/>
      <c r="AE176" s="199"/>
      <c r="AF176" s="199"/>
      <c r="AG176" s="199"/>
      <c r="AH176" s="199"/>
      <c r="AI176" s="199"/>
      <c r="AJ176" s="199"/>
      <c r="AK176" s="199"/>
      <c r="AL176" s="199"/>
      <c r="AM176" s="199"/>
      <c r="AN176" s="199"/>
      <c r="AO176" s="199"/>
      <c r="AP176" s="199"/>
      <c r="AQ176" s="199"/>
      <c r="AR176" s="199"/>
      <c r="AS176" s="199"/>
      <c r="AT176" s="199"/>
      <c r="AU176" s="199"/>
      <c r="AV176" s="199"/>
      <c r="AW176" s="199"/>
      <c r="AX176" s="199"/>
      <c r="AY176" s="199"/>
      <c r="AZ176" s="199"/>
      <c r="BA176" s="199"/>
      <c r="BB176" s="199"/>
      <c r="BC176" s="199"/>
      <c r="BD176" s="199"/>
      <c r="BE176" s="199"/>
      <c r="BF176" s="199"/>
      <c r="BG176" s="199"/>
      <c r="BH176" s="199"/>
      <c r="BI176" s="199"/>
      <c r="BJ176" s="199"/>
      <c r="BK176" s="199"/>
      <c r="BL176" s="199"/>
      <c r="BM176" s="199"/>
      <c r="BN176" s="199"/>
      <c r="BO176" s="199"/>
      <c r="BP176" s="199"/>
      <c r="BQ176" s="199"/>
      <c r="BR176" s="199"/>
      <c r="BS176" s="199"/>
      <c r="BT176" s="199"/>
      <c r="BU176" s="199"/>
      <c r="BV176" s="199"/>
      <c r="BW176" s="199"/>
      <c r="BX176" s="199"/>
      <c r="BY176" s="199"/>
      <c r="BZ176" s="199"/>
      <c r="CA176" s="199"/>
      <c r="CB176" s="199"/>
      <c r="CC176" s="199"/>
      <c r="CD176" s="199"/>
      <c r="CE176" s="199"/>
      <c r="CF176" s="199"/>
      <c r="CG176" s="199"/>
      <c r="CH176" s="199"/>
      <c r="CI176" s="199"/>
      <c r="CJ176" s="199"/>
      <c r="CK176" s="199"/>
      <c r="CL176" s="199"/>
      <c r="CM176" s="199"/>
      <c r="CN176" s="199"/>
      <c r="CO176" s="199"/>
      <c r="CP176" s="199"/>
      <c r="CQ176" s="199"/>
      <c r="CR176" s="199"/>
      <c r="CS176" s="199"/>
      <c r="CT176" s="199"/>
    </row>
    <row r="177" spans="19:98" x14ac:dyDescent="0.25">
      <c r="S177" s="199"/>
      <c r="T177" s="199"/>
      <c r="U177" s="199"/>
      <c r="V177" s="199"/>
      <c r="W177" s="199"/>
      <c r="X177" s="199"/>
      <c r="Y177" s="199"/>
      <c r="Z177" s="199"/>
      <c r="AA177" s="199"/>
      <c r="AB177" s="199"/>
      <c r="AC177" s="199"/>
      <c r="AD177" s="199"/>
      <c r="AE177" s="199"/>
      <c r="AF177" s="199"/>
      <c r="AG177" s="199"/>
      <c r="AH177" s="199"/>
      <c r="AI177" s="199"/>
      <c r="AJ177" s="199"/>
      <c r="AK177" s="199"/>
      <c r="AL177" s="199"/>
      <c r="AM177" s="199"/>
      <c r="AN177" s="199"/>
      <c r="AO177" s="199"/>
      <c r="AP177" s="199"/>
      <c r="AQ177" s="199"/>
      <c r="AR177" s="199"/>
      <c r="AS177" s="199"/>
      <c r="AT177" s="199"/>
      <c r="AU177" s="199"/>
      <c r="AV177" s="199"/>
      <c r="AW177" s="199"/>
      <c r="AX177" s="199"/>
      <c r="AY177" s="199"/>
      <c r="AZ177" s="199"/>
      <c r="BA177" s="199"/>
      <c r="BB177" s="199"/>
      <c r="BC177" s="199"/>
      <c r="BD177" s="199"/>
      <c r="BE177" s="199"/>
      <c r="BF177" s="199"/>
      <c r="BG177" s="199"/>
      <c r="BH177" s="199"/>
      <c r="BI177" s="199"/>
      <c r="BJ177" s="199"/>
      <c r="BK177" s="199"/>
      <c r="BL177" s="199"/>
      <c r="BM177" s="199"/>
      <c r="BN177" s="199"/>
      <c r="BO177" s="199"/>
      <c r="BP177" s="199"/>
      <c r="BQ177" s="199"/>
      <c r="BR177" s="199"/>
      <c r="BS177" s="199"/>
      <c r="BT177" s="199"/>
      <c r="BU177" s="199"/>
      <c r="BV177" s="199"/>
      <c r="BW177" s="199"/>
      <c r="BX177" s="199"/>
      <c r="BY177" s="199"/>
      <c r="BZ177" s="199"/>
      <c r="CA177" s="199"/>
      <c r="CB177" s="199"/>
      <c r="CC177" s="199"/>
      <c r="CD177" s="199"/>
      <c r="CE177" s="199"/>
      <c r="CF177" s="199"/>
      <c r="CG177" s="199"/>
      <c r="CH177" s="199"/>
      <c r="CI177" s="199"/>
      <c r="CJ177" s="199"/>
      <c r="CK177" s="199"/>
      <c r="CL177" s="199"/>
      <c r="CM177" s="199"/>
      <c r="CN177" s="199"/>
      <c r="CO177" s="199"/>
      <c r="CP177" s="199"/>
      <c r="CQ177" s="199"/>
      <c r="CR177" s="199"/>
      <c r="CS177" s="199"/>
      <c r="CT177" s="199"/>
    </row>
    <row r="178" spans="19:98" x14ac:dyDescent="0.25">
      <c r="S178" s="199"/>
      <c r="T178" s="199"/>
      <c r="U178" s="199"/>
      <c r="V178" s="199"/>
      <c r="W178" s="199"/>
      <c r="X178" s="199"/>
      <c r="Y178" s="199"/>
      <c r="Z178" s="199"/>
      <c r="AA178" s="199"/>
      <c r="AB178" s="199"/>
      <c r="AC178" s="199"/>
      <c r="AD178" s="199"/>
      <c r="AE178" s="199"/>
      <c r="AF178" s="199"/>
      <c r="AG178" s="199"/>
      <c r="AH178" s="199"/>
      <c r="AI178" s="199"/>
      <c r="AJ178" s="199"/>
      <c r="AK178" s="199"/>
      <c r="AL178" s="199"/>
      <c r="AM178" s="199"/>
      <c r="AN178" s="199"/>
      <c r="AO178" s="199"/>
      <c r="AP178" s="199"/>
      <c r="AQ178" s="199"/>
      <c r="AR178" s="199"/>
      <c r="AS178" s="199"/>
      <c r="AT178" s="199"/>
      <c r="AU178" s="199"/>
      <c r="AV178" s="199"/>
      <c r="AW178" s="199"/>
      <c r="AX178" s="199"/>
      <c r="AY178" s="199"/>
      <c r="AZ178" s="199"/>
      <c r="BA178" s="199"/>
      <c r="BB178" s="199"/>
      <c r="BC178" s="199"/>
      <c r="BD178" s="199"/>
      <c r="BE178" s="199"/>
      <c r="BF178" s="199"/>
      <c r="BG178" s="199"/>
      <c r="BH178" s="199"/>
      <c r="BI178" s="199"/>
      <c r="BJ178" s="199"/>
      <c r="BK178" s="199"/>
      <c r="BL178" s="199"/>
      <c r="BM178" s="199"/>
      <c r="BN178" s="199"/>
      <c r="BO178" s="199"/>
      <c r="BP178" s="199"/>
      <c r="BQ178" s="199"/>
      <c r="BR178" s="199"/>
      <c r="BS178" s="199"/>
      <c r="BT178" s="199"/>
      <c r="BU178" s="199"/>
      <c r="BV178" s="199"/>
      <c r="BW178" s="199"/>
      <c r="BX178" s="199"/>
      <c r="BY178" s="199"/>
      <c r="BZ178" s="199"/>
      <c r="CA178" s="199"/>
      <c r="CB178" s="199"/>
      <c r="CC178" s="199"/>
      <c r="CD178" s="199"/>
      <c r="CE178" s="199"/>
      <c r="CF178" s="199"/>
      <c r="CG178" s="199"/>
      <c r="CH178" s="199"/>
      <c r="CI178" s="199"/>
      <c r="CJ178" s="199"/>
      <c r="CK178" s="199"/>
      <c r="CL178" s="199"/>
      <c r="CM178" s="199"/>
      <c r="CN178" s="199"/>
      <c r="CO178" s="199"/>
      <c r="CP178" s="199"/>
      <c r="CQ178" s="199"/>
      <c r="CR178" s="199"/>
      <c r="CS178" s="199"/>
      <c r="CT178" s="199"/>
    </row>
    <row r="179" spans="19:98" x14ac:dyDescent="0.25">
      <c r="S179" s="199"/>
      <c r="T179" s="199"/>
      <c r="U179" s="199"/>
      <c r="V179" s="199"/>
      <c r="W179" s="199"/>
      <c r="X179" s="199"/>
      <c r="Y179" s="199"/>
      <c r="Z179" s="199"/>
      <c r="AA179" s="199"/>
      <c r="AB179" s="199"/>
      <c r="AC179" s="199"/>
      <c r="AD179" s="199"/>
      <c r="AE179" s="199"/>
      <c r="AF179" s="199"/>
      <c r="AG179" s="199"/>
      <c r="AH179" s="199"/>
      <c r="AI179" s="199"/>
      <c r="AJ179" s="199"/>
      <c r="AK179" s="199"/>
      <c r="AL179" s="199"/>
      <c r="AM179" s="199"/>
      <c r="AN179" s="199"/>
      <c r="AO179" s="199"/>
      <c r="AP179" s="199"/>
      <c r="AQ179" s="199"/>
      <c r="AR179" s="199"/>
      <c r="AS179" s="199"/>
      <c r="AT179" s="199"/>
      <c r="AU179" s="199"/>
      <c r="AV179" s="199"/>
      <c r="AW179" s="199"/>
      <c r="AX179" s="199"/>
      <c r="AY179" s="199"/>
      <c r="AZ179" s="199"/>
      <c r="BA179" s="199"/>
      <c r="BB179" s="199"/>
      <c r="BC179" s="199"/>
      <c r="BD179" s="199"/>
      <c r="BE179" s="199"/>
      <c r="BF179" s="199"/>
      <c r="BG179" s="199"/>
      <c r="BH179" s="199"/>
      <c r="BI179" s="199"/>
      <c r="BJ179" s="199"/>
      <c r="BK179" s="199"/>
      <c r="BL179" s="199"/>
      <c r="BM179" s="199"/>
      <c r="BN179" s="199"/>
      <c r="BO179" s="199"/>
      <c r="BP179" s="199"/>
      <c r="BQ179" s="199"/>
      <c r="BR179" s="199"/>
      <c r="BS179" s="199"/>
      <c r="BT179" s="199"/>
      <c r="BU179" s="199"/>
      <c r="BV179" s="199"/>
      <c r="BW179" s="199"/>
      <c r="BX179" s="199"/>
      <c r="BY179" s="199"/>
      <c r="BZ179" s="199"/>
      <c r="CA179" s="199"/>
      <c r="CB179" s="199"/>
      <c r="CC179" s="199"/>
      <c r="CD179" s="199"/>
      <c r="CE179" s="199"/>
      <c r="CF179" s="199"/>
      <c r="CG179" s="199"/>
      <c r="CH179" s="199"/>
      <c r="CI179" s="199"/>
      <c r="CJ179" s="199"/>
      <c r="CK179" s="199"/>
      <c r="CL179" s="199"/>
      <c r="CM179" s="199"/>
      <c r="CN179" s="199"/>
      <c r="CO179" s="199"/>
      <c r="CP179" s="199"/>
      <c r="CQ179" s="199"/>
      <c r="CR179" s="199"/>
      <c r="CS179" s="199"/>
      <c r="CT179" s="199"/>
    </row>
    <row r="180" spans="19:98" x14ac:dyDescent="0.25">
      <c r="S180" s="199"/>
      <c r="T180" s="199"/>
      <c r="U180" s="199"/>
      <c r="V180" s="199"/>
      <c r="W180" s="199"/>
      <c r="X180" s="199"/>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199"/>
      <c r="AT180" s="199"/>
      <c r="AU180" s="199"/>
      <c r="AV180" s="199"/>
      <c r="AW180" s="199"/>
      <c r="AX180" s="199"/>
      <c r="AY180" s="199"/>
      <c r="AZ180" s="199"/>
      <c r="BA180" s="199"/>
      <c r="BB180" s="199"/>
      <c r="BC180" s="199"/>
      <c r="BD180" s="199"/>
      <c r="BE180" s="199"/>
      <c r="BF180" s="199"/>
      <c r="BG180" s="199"/>
      <c r="BH180" s="199"/>
      <c r="BI180" s="199"/>
      <c r="BJ180" s="199"/>
      <c r="BK180" s="199"/>
      <c r="BL180" s="199"/>
      <c r="BM180" s="199"/>
      <c r="BN180" s="199"/>
      <c r="BO180" s="199"/>
      <c r="BP180" s="199"/>
      <c r="BQ180" s="199"/>
      <c r="BR180" s="199"/>
      <c r="BS180" s="199"/>
      <c r="BT180" s="199"/>
      <c r="BU180" s="199"/>
      <c r="BV180" s="199"/>
      <c r="BW180" s="199"/>
      <c r="BX180" s="199"/>
      <c r="BY180" s="199"/>
      <c r="BZ180" s="199"/>
      <c r="CA180" s="199"/>
      <c r="CB180" s="199"/>
      <c r="CC180" s="199"/>
      <c r="CD180" s="199"/>
      <c r="CE180" s="199"/>
      <c r="CF180" s="199"/>
      <c r="CG180" s="199"/>
      <c r="CH180" s="199"/>
      <c r="CI180" s="199"/>
      <c r="CJ180" s="199"/>
      <c r="CK180" s="199"/>
      <c r="CL180" s="199"/>
      <c r="CM180" s="199"/>
      <c r="CN180" s="199"/>
      <c r="CO180" s="199"/>
      <c r="CP180" s="199"/>
      <c r="CQ180" s="199"/>
      <c r="CR180" s="199"/>
      <c r="CS180" s="199"/>
      <c r="CT180" s="199"/>
    </row>
    <row r="181" spans="19:98" x14ac:dyDescent="0.25">
      <c r="S181" s="199"/>
      <c r="T181" s="199"/>
      <c r="U181" s="199"/>
      <c r="V181" s="199"/>
      <c r="W181" s="199"/>
      <c r="X181" s="199"/>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199"/>
      <c r="AT181" s="199"/>
      <c r="AU181" s="199"/>
      <c r="AV181" s="199"/>
      <c r="AW181" s="199"/>
      <c r="AX181" s="199"/>
      <c r="AY181" s="199"/>
      <c r="AZ181" s="199"/>
      <c r="BA181" s="199"/>
      <c r="BB181" s="199"/>
      <c r="BC181" s="199"/>
      <c r="BD181" s="199"/>
      <c r="BE181" s="199"/>
      <c r="BF181" s="199"/>
      <c r="BG181" s="199"/>
      <c r="BH181" s="199"/>
      <c r="BI181" s="199"/>
      <c r="BJ181" s="199"/>
      <c r="BK181" s="199"/>
      <c r="BL181" s="199"/>
      <c r="BM181" s="199"/>
      <c r="BN181" s="199"/>
      <c r="BO181" s="199"/>
      <c r="BP181" s="199"/>
      <c r="BQ181" s="199"/>
      <c r="BR181" s="199"/>
      <c r="BS181" s="199"/>
      <c r="BT181" s="199"/>
      <c r="BU181" s="199"/>
      <c r="BV181" s="199"/>
      <c r="BW181" s="199"/>
      <c r="BX181" s="199"/>
      <c r="BY181" s="199"/>
      <c r="BZ181" s="199"/>
      <c r="CA181" s="199"/>
      <c r="CB181" s="199"/>
      <c r="CC181" s="199"/>
      <c r="CD181" s="199"/>
      <c r="CE181" s="199"/>
      <c r="CF181" s="199"/>
      <c r="CG181" s="199"/>
      <c r="CH181" s="199"/>
      <c r="CI181" s="199"/>
      <c r="CJ181" s="199"/>
      <c r="CK181" s="199"/>
      <c r="CL181" s="199"/>
      <c r="CM181" s="199"/>
      <c r="CN181" s="199"/>
      <c r="CO181" s="199"/>
      <c r="CP181" s="199"/>
      <c r="CQ181" s="199"/>
      <c r="CR181" s="199"/>
      <c r="CS181" s="199"/>
      <c r="CT181" s="199"/>
    </row>
    <row r="182" spans="19:98" x14ac:dyDescent="0.25">
      <c r="S182" s="199"/>
      <c r="T182" s="199"/>
      <c r="U182" s="199"/>
      <c r="V182" s="199"/>
      <c r="W182" s="199"/>
      <c r="X182" s="199"/>
      <c r="Y182" s="199"/>
      <c r="Z182" s="199"/>
      <c r="AA182" s="199"/>
      <c r="AB182" s="199"/>
      <c r="AC182" s="199"/>
      <c r="AD182" s="199"/>
      <c r="AE182" s="199"/>
      <c r="AF182" s="199"/>
      <c r="AG182" s="199"/>
      <c r="AH182" s="199"/>
      <c r="AI182" s="199"/>
      <c r="AJ182" s="199"/>
      <c r="AK182" s="199"/>
      <c r="AL182" s="199"/>
      <c r="AM182" s="199"/>
      <c r="AN182" s="199"/>
      <c r="AO182" s="199"/>
      <c r="AP182" s="199"/>
      <c r="AQ182" s="199"/>
      <c r="AR182" s="199"/>
      <c r="AS182" s="199"/>
      <c r="AT182" s="199"/>
      <c r="AU182" s="199"/>
      <c r="AV182" s="199"/>
      <c r="AW182" s="199"/>
      <c r="AX182" s="199"/>
      <c r="AY182" s="199"/>
      <c r="AZ182" s="199"/>
      <c r="BA182" s="199"/>
      <c r="BB182" s="199"/>
      <c r="BC182" s="199"/>
      <c r="BD182" s="199"/>
      <c r="BE182" s="199"/>
      <c r="BF182" s="199"/>
      <c r="BG182" s="199"/>
      <c r="BH182" s="199"/>
      <c r="BI182" s="199"/>
      <c r="BJ182" s="199"/>
      <c r="BK182" s="199"/>
      <c r="BL182" s="199"/>
      <c r="BM182" s="199"/>
      <c r="BN182" s="199"/>
      <c r="BO182" s="199"/>
      <c r="BP182" s="199"/>
      <c r="BQ182" s="199"/>
      <c r="BR182" s="199"/>
      <c r="BS182" s="199"/>
      <c r="BT182" s="199"/>
      <c r="BU182" s="199"/>
      <c r="BV182" s="199"/>
      <c r="BW182" s="199"/>
      <c r="BX182" s="199"/>
      <c r="BY182" s="199"/>
      <c r="BZ182" s="199"/>
      <c r="CA182" s="199"/>
      <c r="CB182" s="199"/>
      <c r="CC182" s="199"/>
      <c r="CD182" s="199"/>
      <c r="CE182" s="199"/>
      <c r="CF182" s="199"/>
      <c r="CG182" s="199"/>
      <c r="CH182" s="199"/>
      <c r="CI182" s="199"/>
      <c r="CJ182" s="199"/>
      <c r="CK182" s="199"/>
      <c r="CL182" s="199"/>
      <c r="CM182" s="199"/>
      <c r="CN182" s="199"/>
      <c r="CO182" s="199"/>
      <c r="CP182" s="199"/>
      <c r="CQ182" s="199"/>
      <c r="CR182" s="199"/>
      <c r="CS182" s="199"/>
      <c r="CT182" s="199"/>
    </row>
    <row r="183" spans="19:98" x14ac:dyDescent="0.25">
      <c r="S183" s="199"/>
      <c r="T183" s="199"/>
      <c r="U183" s="199"/>
      <c r="V183" s="199"/>
      <c r="W183" s="199"/>
      <c r="X183" s="199"/>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199"/>
      <c r="AT183" s="199"/>
      <c r="AU183" s="199"/>
      <c r="AV183" s="199"/>
      <c r="AW183" s="199"/>
      <c r="AX183" s="199"/>
      <c r="AY183" s="199"/>
      <c r="AZ183" s="199"/>
      <c r="BA183" s="199"/>
      <c r="BB183" s="199"/>
      <c r="BC183" s="199"/>
      <c r="BD183" s="199"/>
      <c r="BE183" s="199"/>
      <c r="BF183" s="199"/>
      <c r="BG183" s="199"/>
      <c r="BH183" s="199"/>
      <c r="BI183" s="199"/>
      <c r="BJ183" s="199"/>
      <c r="BK183" s="199"/>
      <c r="BL183" s="199"/>
      <c r="BM183" s="199"/>
      <c r="BN183" s="199"/>
      <c r="BO183" s="199"/>
      <c r="BP183" s="199"/>
      <c r="BQ183" s="199"/>
      <c r="BR183" s="199"/>
      <c r="BS183" s="199"/>
      <c r="BT183" s="199"/>
      <c r="BU183" s="199"/>
      <c r="BV183" s="199"/>
      <c r="BW183" s="199"/>
      <c r="BX183" s="199"/>
      <c r="BY183" s="199"/>
      <c r="BZ183" s="199"/>
      <c r="CA183" s="199"/>
      <c r="CB183" s="199"/>
      <c r="CC183" s="199"/>
      <c r="CD183" s="199"/>
      <c r="CE183" s="199"/>
      <c r="CF183" s="199"/>
      <c r="CG183" s="199"/>
      <c r="CH183" s="199"/>
      <c r="CI183" s="199"/>
      <c r="CJ183" s="199"/>
      <c r="CK183" s="199"/>
      <c r="CL183" s="199"/>
      <c r="CM183" s="199"/>
      <c r="CN183" s="199"/>
      <c r="CO183" s="199"/>
      <c r="CP183" s="199"/>
      <c r="CQ183" s="199"/>
      <c r="CR183" s="199"/>
      <c r="CS183" s="199"/>
      <c r="CT183" s="199"/>
    </row>
    <row r="184" spans="19:98" x14ac:dyDescent="0.25">
      <c r="S184" s="199"/>
      <c r="T184" s="199"/>
      <c r="U184" s="199"/>
      <c r="V184" s="199"/>
      <c r="W184" s="199"/>
      <c r="X184" s="199"/>
      <c r="Y184" s="199"/>
      <c r="Z184" s="199"/>
      <c r="AA184" s="199"/>
      <c r="AB184" s="199"/>
    </row>
    <row r="185" spans="19:98" x14ac:dyDescent="0.25">
      <c r="S185" s="199"/>
      <c r="T185" s="199"/>
      <c r="U185" s="199"/>
      <c r="V185" s="199"/>
      <c r="W185" s="199"/>
      <c r="X185" s="199"/>
      <c r="Y185" s="199"/>
      <c r="Z185" s="199"/>
      <c r="AA185" s="199"/>
      <c r="AB185" s="199"/>
    </row>
    <row r="186" spans="19:98" x14ac:dyDescent="0.25">
      <c r="S186" s="199"/>
      <c r="T186" s="199"/>
      <c r="U186" s="199"/>
      <c r="V186" s="199"/>
      <c r="W186" s="199"/>
      <c r="X186" s="199"/>
      <c r="Y186" s="199"/>
      <c r="Z186" s="199"/>
      <c r="AA186" s="199"/>
      <c r="AB186" s="199"/>
    </row>
    <row r="187" spans="19:98" x14ac:dyDescent="0.25">
      <c r="S187" s="199"/>
      <c r="T187" s="199"/>
      <c r="U187" s="199"/>
      <c r="V187" s="199"/>
      <c r="W187" s="199"/>
      <c r="X187" s="199"/>
      <c r="Y187" s="199"/>
      <c r="Z187" s="199"/>
      <c r="AA187" s="199"/>
      <c r="AB187" s="199"/>
    </row>
    <row r="188" spans="19:98" x14ac:dyDescent="0.25">
      <c r="S188" s="199"/>
      <c r="T188" s="199"/>
      <c r="U188" s="199"/>
      <c r="V188" s="199"/>
      <c r="W188" s="199"/>
      <c r="X188" s="199"/>
      <c r="Y188" s="199"/>
      <c r="Z188" s="199"/>
      <c r="AA188" s="199"/>
      <c r="AB188" s="199"/>
    </row>
    <row r="189" spans="19:98" x14ac:dyDescent="0.25">
      <c r="S189" s="199"/>
      <c r="T189" s="199"/>
      <c r="U189" s="199"/>
      <c r="V189" s="199"/>
      <c r="W189" s="199"/>
      <c r="X189" s="199"/>
      <c r="Y189" s="199"/>
      <c r="Z189" s="199"/>
      <c r="AA189" s="199"/>
      <c r="AB189" s="199"/>
    </row>
    <row r="190" spans="19:98" x14ac:dyDescent="0.25">
      <c r="S190" s="199"/>
      <c r="T190" s="199"/>
      <c r="U190" s="199"/>
      <c r="V190" s="199"/>
      <c r="W190" s="199"/>
      <c r="X190" s="199"/>
      <c r="Y190" s="199"/>
      <c r="Z190" s="199"/>
      <c r="AA190" s="199"/>
      <c r="AB190" s="199"/>
    </row>
    <row r="191" spans="19:98" x14ac:dyDescent="0.25">
      <c r="S191" s="199"/>
      <c r="T191" s="199"/>
      <c r="U191" s="199"/>
      <c r="V191" s="199"/>
      <c r="W191" s="199"/>
      <c r="X191" s="199"/>
      <c r="Y191" s="199"/>
      <c r="Z191" s="199"/>
      <c r="AA191" s="199"/>
      <c r="AB191" s="199"/>
    </row>
    <row r="192" spans="19:98" x14ac:dyDescent="0.25">
      <c r="S192" s="199"/>
      <c r="T192" s="199"/>
      <c r="U192" s="199"/>
      <c r="V192" s="199"/>
      <c r="W192" s="199"/>
      <c r="X192" s="199"/>
      <c r="Y192" s="199"/>
      <c r="Z192" s="199"/>
      <c r="AA192" s="199"/>
      <c r="AB192" s="199"/>
    </row>
    <row r="193" spans="19:28" x14ac:dyDescent="0.25">
      <c r="S193" s="199"/>
      <c r="T193" s="199"/>
      <c r="U193" s="199"/>
      <c r="V193" s="199"/>
      <c r="W193" s="199"/>
      <c r="X193" s="199"/>
      <c r="Y193" s="199"/>
      <c r="Z193" s="199"/>
      <c r="AA193" s="199"/>
      <c r="AB193" s="199"/>
    </row>
    <row r="194" spans="19:28" x14ac:dyDescent="0.25">
      <c r="S194" s="199"/>
      <c r="T194" s="199"/>
      <c r="U194" s="199"/>
      <c r="V194" s="199"/>
      <c r="W194" s="199"/>
      <c r="X194" s="199"/>
      <c r="Y194" s="199"/>
      <c r="Z194" s="199"/>
      <c r="AA194" s="199"/>
      <c r="AB194" s="199"/>
    </row>
    <row r="195" spans="19:28" x14ac:dyDescent="0.25">
      <c r="S195" s="199"/>
      <c r="T195" s="199"/>
      <c r="U195" s="199"/>
      <c r="V195" s="199"/>
      <c r="W195" s="199"/>
      <c r="X195" s="199"/>
      <c r="Y195" s="199"/>
      <c r="Z195" s="199"/>
      <c r="AA195" s="199"/>
      <c r="AB195" s="199"/>
    </row>
    <row r="196" spans="19:28" x14ac:dyDescent="0.25">
      <c r="S196" s="199"/>
      <c r="T196" s="199"/>
      <c r="U196" s="199"/>
      <c r="V196" s="199"/>
      <c r="W196" s="199"/>
      <c r="X196" s="199"/>
      <c r="Y196" s="199"/>
      <c r="Z196" s="199"/>
      <c r="AA196" s="199"/>
      <c r="AB196" s="199"/>
    </row>
    <row r="197" spans="19:28" x14ac:dyDescent="0.25">
      <c r="S197" s="199"/>
      <c r="T197" s="199"/>
      <c r="U197" s="199"/>
      <c r="V197" s="199"/>
      <c r="W197" s="199"/>
      <c r="X197" s="199"/>
      <c r="Y197" s="199"/>
      <c r="Z197" s="199"/>
      <c r="AA197" s="199"/>
      <c r="AB197" s="199"/>
    </row>
    <row r="198" spans="19:28" x14ac:dyDescent="0.25">
      <c r="S198" s="199"/>
      <c r="T198" s="199"/>
      <c r="U198" s="199"/>
      <c r="V198" s="199"/>
      <c r="W198" s="199"/>
      <c r="X198" s="199"/>
      <c r="Y198" s="199"/>
      <c r="Z198" s="199"/>
      <c r="AA198" s="199"/>
      <c r="AB198" s="199"/>
    </row>
    <row r="199" spans="19:28" x14ac:dyDescent="0.25">
      <c r="S199" s="199"/>
      <c r="T199" s="199"/>
      <c r="U199" s="199"/>
      <c r="V199" s="199"/>
      <c r="W199" s="199"/>
      <c r="X199" s="199"/>
      <c r="Y199" s="199"/>
      <c r="Z199" s="199"/>
      <c r="AA199" s="199"/>
      <c r="AB199" s="199"/>
    </row>
    <row r="200" spans="19:28" x14ac:dyDescent="0.25">
      <c r="S200" s="199"/>
      <c r="T200" s="199"/>
      <c r="U200" s="199"/>
      <c r="V200" s="199"/>
      <c r="W200" s="199"/>
      <c r="X200" s="199"/>
      <c r="Y200" s="199"/>
      <c r="Z200" s="199"/>
      <c r="AA200" s="199"/>
      <c r="AB200" s="199"/>
    </row>
    <row r="201" spans="19:28" x14ac:dyDescent="0.25">
      <c r="S201" s="199"/>
      <c r="T201" s="199"/>
      <c r="U201" s="199"/>
      <c r="V201" s="199"/>
      <c r="W201" s="199"/>
      <c r="X201" s="199"/>
      <c r="Y201" s="199"/>
      <c r="Z201" s="199"/>
      <c r="AA201" s="199"/>
      <c r="AB201" s="199"/>
    </row>
    <row r="202" spans="19:28" x14ac:dyDescent="0.25">
      <c r="S202" s="199"/>
      <c r="T202" s="199"/>
      <c r="U202" s="199"/>
      <c r="V202" s="199"/>
      <c r="W202" s="199"/>
      <c r="X202" s="199"/>
      <c r="Y202" s="199"/>
      <c r="Z202" s="199"/>
      <c r="AA202" s="199"/>
      <c r="AB202" s="199"/>
    </row>
    <row r="203" spans="19:28" x14ac:dyDescent="0.25">
      <c r="S203" s="199"/>
      <c r="T203" s="199"/>
      <c r="U203" s="199"/>
      <c r="V203" s="199"/>
      <c r="W203" s="199"/>
      <c r="X203" s="199"/>
      <c r="Y203" s="199"/>
      <c r="Z203" s="199"/>
      <c r="AA203" s="199"/>
      <c r="AB203" s="199"/>
    </row>
    <row r="204" spans="19:28" x14ac:dyDescent="0.25">
      <c r="S204" s="199"/>
      <c r="T204" s="199"/>
      <c r="U204" s="199"/>
      <c r="V204" s="199"/>
      <c r="W204" s="199"/>
      <c r="X204" s="199"/>
      <c r="Y204" s="199"/>
      <c r="Z204" s="199"/>
      <c r="AA204" s="199"/>
      <c r="AB204" s="199"/>
    </row>
    <row r="205" spans="19:28" x14ac:dyDescent="0.25">
      <c r="S205" s="199"/>
      <c r="T205" s="199"/>
      <c r="U205" s="199"/>
      <c r="V205" s="199"/>
      <c r="W205" s="199"/>
      <c r="X205" s="199"/>
      <c r="Y205" s="199"/>
      <c r="Z205" s="199"/>
      <c r="AA205" s="199"/>
      <c r="AB205" s="199"/>
    </row>
    <row r="206" spans="19:28" x14ac:dyDescent="0.25">
      <c r="S206" s="199"/>
      <c r="T206" s="199"/>
      <c r="U206" s="199"/>
      <c r="V206" s="199"/>
      <c r="W206" s="199"/>
      <c r="X206" s="199"/>
      <c r="Y206" s="199"/>
      <c r="Z206" s="199"/>
      <c r="AA206" s="199"/>
      <c r="AB206" s="199"/>
    </row>
  </sheetData>
  <mergeCells count="1">
    <mergeCell ref="I2:I6"/>
  </mergeCells>
  <conditionalFormatting sqref="J7:M31">
    <cfRule type="colorScale" priority="25">
      <colorScale>
        <cfvo type="min"/>
        <cfvo type="percentile" val="50"/>
        <cfvo type="max"/>
        <color rgb="FFF8696B"/>
        <color theme="0"/>
        <color rgb="FF63BE7B"/>
      </colorScale>
    </cfRule>
  </conditionalFormatting>
  <conditionalFormatting sqref="S7:AB31">
    <cfRule type="cellIs" dxfId="2" priority="27" operator="equal">
      <formula>"A"</formula>
    </cfRule>
    <cfRule type="cellIs" dxfId="1" priority="28" operator="equal">
      <formula>"X"</formula>
    </cfRule>
    <cfRule type="colorScale" priority="29">
      <colorScale>
        <cfvo type="min"/>
        <cfvo type="max"/>
        <color theme="0"/>
        <color theme="4"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2021-03-27T02:24:09Z</dcterms:created>
  <dcterms:modified xsi:type="dcterms:W3CDTF">2021-03-27T12:19:51Z</dcterms:modified>
</cp:coreProperties>
</file>