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Skole\Inf.Sys\Oblig 2 - Excel\"/>
    </mc:Choice>
  </mc:AlternateContent>
  <bookViews>
    <workbookView xWindow="0" yWindow="0" windowWidth="28800" windowHeight="11910" firstSheet="1" activeTab="9" xr2:uid="{00000000-000D-0000-FFFF-FFFF00000000}"/>
  </bookViews>
  <sheets>
    <sheet name="Faktura" sheetId="1" r:id="rId1"/>
    <sheet name="Rabatt" sheetId="5" r:id="rId2"/>
    <sheet name="Varer" sheetId="3" r:id="rId3"/>
    <sheet name="Kunder" sheetId="4" r:id="rId4"/>
    <sheet name="Resultater" sheetId="6" r:id="rId5"/>
    <sheet name="Diagram utvikling" sheetId="14" r:id="rId6"/>
    <sheet name="Kontrakter" sheetId="7" r:id="rId7"/>
    <sheet name="Piottabell kontraktansvarlig" sheetId="15" r:id="rId8"/>
    <sheet name="Pivottdiagram prosjektleder" sheetId="16" r:id="rId9"/>
    <sheet name="Annuitet" sheetId="13" r:id="rId10"/>
  </sheets>
  <calcPr calcId="171027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3" l="1"/>
  <c r="C10" i="13" l="1"/>
  <c r="D13" i="13"/>
  <c r="D27" i="13" l="1"/>
  <c r="D23" i="13"/>
  <c r="D19" i="13"/>
  <c r="D15" i="13"/>
  <c r="D11" i="13"/>
  <c r="D28" i="13"/>
  <c r="D24" i="13"/>
  <c r="D20" i="13"/>
  <c r="D16" i="13"/>
  <c r="D12" i="13"/>
  <c r="D10" i="13"/>
  <c r="D26" i="13"/>
  <c r="D22" i="13"/>
  <c r="D18" i="13"/>
  <c r="D14" i="13"/>
  <c r="D29" i="13"/>
  <c r="D25" i="13"/>
  <c r="D21" i="13"/>
  <c r="D17" i="13"/>
  <c r="B4" i="1"/>
  <c r="D12" i="1"/>
  <c r="E12" i="1" s="1"/>
  <c r="D16" i="1"/>
  <c r="E16" i="1" s="1"/>
  <c r="B10" i="1"/>
  <c r="D10" i="1" s="1"/>
  <c r="E10" i="1" s="1"/>
  <c r="B11" i="1"/>
  <c r="D11" i="1" s="1"/>
  <c r="E11" i="1" s="1"/>
  <c r="B12" i="1"/>
  <c r="B13" i="1"/>
  <c r="D13" i="1" s="1"/>
  <c r="E13" i="1" s="1"/>
  <c r="B14" i="1"/>
  <c r="D14" i="1" s="1"/>
  <c r="E14" i="1" s="1"/>
  <c r="B15" i="1"/>
  <c r="D15" i="1" s="1"/>
  <c r="E15" i="1" s="1"/>
  <c r="B16" i="1"/>
  <c r="B17" i="1"/>
  <c r="D17" i="1" s="1"/>
  <c r="E17" i="1" s="1"/>
  <c r="B18" i="1"/>
  <c r="D18" i="1" s="1"/>
  <c r="E18" i="1" s="1"/>
  <c r="E20" i="1" l="1"/>
  <c r="B6" i="1" s="1"/>
  <c r="B7" i="1"/>
  <c r="B5" i="1"/>
  <c r="D30" i="13"/>
  <c r="E51" i="7"/>
  <c r="B27" i="1" l="1"/>
  <c r="E27" i="1"/>
  <c r="C21" i="1"/>
  <c r="E21" i="1" s="1"/>
  <c r="E23" i="1" s="1"/>
  <c r="E24" i="1" s="1"/>
  <c r="E25" i="1" s="1"/>
  <c r="A29" i="1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3" i="7"/>
  <c r="G51" i="7" s="1"/>
  <c r="C3" i="6"/>
  <c r="D3" i="6"/>
  <c r="E3" i="6"/>
  <c r="F3" i="6"/>
  <c r="G3" i="6"/>
  <c r="H3" i="6"/>
  <c r="B3" i="6"/>
  <c r="B6" i="6" l="1"/>
  <c r="D6" i="6" l="1"/>
  <c r="E6" i="6"/>
  <c r="F6" i="6"/>
  <c r="G6" i="6"/>
  <c r="H6" i="6"/>
  <c r="C6" i="6"/>
  <c r="E10" i="13" l="1"/>
  <c r="F10" i="13" s="1"/>
  <c r="C11" i="13" l="1"/>
  <c r="E11" i="13" l="1"/>
  <c r="F11" i="13" l="1"/>
  <c r="C12" i="13" l="1"/>
  <c r="E12" i="13" l="1"/>
  <c r="F12" i="13" l="1"/>
  <c r="C13" i="13" l="1"/>
  <c r="E13" i="13" s="1"/>
  <c r="F13" i="13" l="1"/>
  <c r="C14" i="13" l="1"/>
  <c r="E14" i="13" s="1"/>
  <c r="F14" i="13" s="1"/>
  <c r="C15" i="13" s="1"/>
  <c r="E15" i="13" s="1"/>
  <c r="F15" i="13" s="1"/>
  <c r="C16" i="13" s="1"/>
  <c r="E16" i="13" l="1"/>
  <c r="F16" i="13" s="1"/>
  <c r="C17" i="13" s="1"/>
  <c r="E17" i="13" l="1"/>
  <c r="F17" i="13" s="1"/>
  <c r="C18" i="13" s="1"/>
  <c r="E18" i="13" s="1"/>
  <c r="F18" i="13" s="1"/>
  <c r="C19" i="13" s="1"/>
  <c r="E19" i="13" s="1"/>
  <c r="F19" i="13" s="1"/>
  <c r="C20" i="13" s="1"/>
  <c r="E20" i="13" s="1"/>
  <c r="F20" i="13" s="1"/>
  <c r="C21" i="13" s="1"/>
  <c r="E21" i="13" l="1"/>
  <c r="F21" i="13" s="1"/>
  <c r="C22" i="13" s="1"/>
  <c r="E22" i="13" s="1"/>
  <c r="F22" i="13" s="1"/>
  <c r="C23" i="13" s="1"/>
  <c r="E23" i="13" s="1"/>
  <c r="F23" i="13" s="1"/>
  <c r="C24" i="13" s="1"/>
  <c r="E24" i="13" s="1"/>
  <c r="F24" i="13" s="1"/>
  <c r="C25" i="13" s="1"/>
  <c r="E25" i="13" s="1"/>
  <c r="F25" i="13" s="1"/>
  <c r="C26" i="13" s="1"/>
  <c r="E26" i="13" s="1"/>
  <c r="F26" i="13" s="1"/>
  <c r="C27" i="13" s="1"/>
  <c r="E27" i="13" s="1"/>
  <c r="F27" i="13" s="1"/>
  <c r="C28" i="13" s="1"/>
  <c r="E28" i="13" l="1"/>
  <c r="F28" i="13" s="1"/>
  <c r="C29" i="13" s="1"/>
  <c r="E29" i="13" s="1"/>
  <c r="F29" i="13" l="1"/>
  <c r="F30" i="13" s="1"/>
  <c r="E30" i="13"/>
</calcChain>
</file>

<file path=xl/sharedStrings.xml><?xml version="1.0" encoding="utf-8"?>
<sst xmlns="http://schemas.openxmlformats.org/spreadsheetml/2006/main" count="472" uniqueCount="225">
  <si>
    <t>Fakturanr.:</t>
  </si>
  <si>
    <t>Kundenr</t>
  </si>
  <si>
    <t>Rabattsats</t>
  </si>
  <si>
    <t>Antall</t>
  </si>
  <si>
    <t>Pris</t>
  </si>
  <si>
    <t>Sum</t>
  </si>
  <si>
    <t>Subtotal</t>
  </si>
  <si>
    <t>Rabatt</t>
  </si>
  <si>
    <t>Total</t>
  </si>
  <si>
    <t>Mva</t>
  </si>
  <si>
    <t>Å betale</t>
  </si>
  <si>
    <t>Kundeforhold</t>
  </si>
  <si>
    <t>Normalbetong</t>
  </si>
  <si>
    <t>Tungbetong</t>
  </si>
  <si>
    <t>Transport</t>
  </si>
  <si>
    <t>Berg &amp; Bendiksen Betong AS</t>
  </si>
  <si>
    <t>Kundenavn</t>
  </si>
  <si>
    <t>Varenummer</t>
  </si>
  <si>
    <t>Varenavn</t>
  </si>
  <si>
    <t>Kundenummer</t>
  </si>
  <si>
    <t>Ingen</t>
  </si>
  <si>
    <t>Gull</t>
  </si>
  <si>
    <t>Sølv</t>
  </si>
  <si>
    <t>Byggmester Bob</t>
  </si>
  <si>
    <t>Murermester Jensen AS</t>
  </si>
  <si>
    <t>Rabattordning</t>
  </si>
  <si>
    <t>Kvantum</t>
  </si>
  <si>
    <t>Kriterium</t>
  </si>
  <si>
    <t>Konstruksjonsblokk</t>
  </si>
  <si>
    <t>Isoblokk</t>
  </si>
  <si>
    <t>Pilarblokk</t>
  </si>
  <si>
    <t>Startblokk</t>
  </si>
  <si>
    <t>Universalblokk</t>
  </si>
  <si>
    <t>Splittblokk</t>
  </si>
  <si>
    <t>Fasadeblokk</t>
  </si>
  <si>
    <t>Teglstein rød</t>
  </si>
  <si>
    <t>Teglstein gul</t>
  </si>
  <si>
    <t>Thermomur</t>
  </si>
  <si>
    <t>Ringmursblokk</t>
  </si>
  <si>
    <t>Lettklinker</t>
  </si>
  <si>
    <t>Pussbetong</t>
  </si>
  <si>
    <t>Thermopuss</t>
  </si>
  <si>
    <t>Kappekloss</t>
  </si>
  <si>
    <t>Glassfibernett</t>
  </si>
  <si>
    <t>Arbeid murer</t>
  </si>
  <si>
    <t>Arbeid prosjektleder</t>
  </si>
  <si>
    <t>Arbeid adm</t>
  </si>
  <si>
    <t>Arbeid graving</t>
  </si>
  <si>
    <t>Arbeid maling</t>
  </si>
  <si>
    <t>Arbeid tømrer</t>
  </si>
  <si>
    <t>Ringelement</t>
  </si>
  <si>
    <t>Søyle lokk</t>
  </si>
  <si>
    <t>Armering rull</t>
  </si>
  <si>
    <t xml:space="preserve">Skjøtelist </t>
  </si>
  <si>
    <t>Forskalingsblokk</t>
  </si>
  <si>
    <t>Basisblokk</t>
  </si>
  <si>
    <t>Enhet</t>
  </si>
  <si>
    <t>kbm</t>
  </si>
  <si>
    <t>m</t>
  </si>
  <si>
    <t>stk</t>
  </si>
  <si>
    <t>sekk</t>
  </si>
  <si>
    <t>t*km</t>
  </si>
  <si>
    <t>time</t>
  </si>
  <si>
    <t>Enhetspris</t>
  </si>
  <si>
    <t>-</t>
  </si>
  <si>
    <t>Gvarv Entreprenør AS</t>
  </si>
  <si>
    <t>Bø byggevarer AS</t>
  </si>
  <si>
    <t>Petter Åsen</t>
  </si>
  <si>
    <t>Oskar Oskarsen tømrer AS</t>
  </si>
  <si>
    <t>Bø kommune</t>
  </si>
  <si>
    <t>Sauherad kommune</t>
  </si>
  <si>
    <t>Nome kommune</t>
  </si>
  <si>
    <t>Midt-Telemark Energi AS</t>
  </si>
  <si>
    <t>Pedersen &amp; Sønner AS</t>
  </si>
  <si>
    <t>Tømrer Ola Olsen AS</t>
  </si>
  <si>
    <t>Mur og tak AS</t>
  </si>
  <si>
    <t>Jens Jensen</t>
  </si>
  <si>
    <t>XL-bygg AS</t>
  </si>
  <si>
    <t>Hytter og hus AS</t>
  </si>
  <si>
    <t>Garasjemontøren AS</t>
  </si>
  <si>
    <t>Leiv Erikson discovery AS</t>
  </si>
  <si>
    <t>Mor Monsen</t>
  </si>
  <si>
    <t>Andersen mur AS</t>
  </si>
  <si>
    <t>Liv Løklien</t>
  </si>
  <si>
    <t>Snekker Andersen AS</t>
  </si>
  <si>
    <t>Oppusning og nybygg AS</t>
  </si>
  <si>
    <t>Bø vedlikeholdshjelp AS</t>
  </si>
  <si>
    <t>Lifjell skisenter AS</t>
  </si>
  <si>
    <t>Bø sommarland</t>
  </si>
  <si>
    <t>Bø camping AS</t>
  </si>
  <si>
    <t>Universitetet i Sørøst-Norge</t>
  </si>
  <si>
    <t>Telemark fylkeskommune</t>
  </si>
  <si>
    <t>Driftsresultat</t>
  </si>
  <si>
    <t>Totale driftskostnader</t>
  </si>
  <si>
    <t>Antall årsverk</t>
  </si>
  <si>
    <t>Inntekt per ansatt</t>
  </si>
  <si>
    <t>Totale driftsinntekter</t>
  </si>
  <si>
    <t>Kontrakter 2017</t>
  </si>
  <si>
    <t>Verdi</t>
  </si>
  <si>
    <t>Avtaledato</t>
  </si>
  <si>
    <t>Ferdigdato</t>
  </si>
  <si>
    <t>Antall arbeidere</t>
  </si>
  <si>
    <t>Oppstartsdato</t>
  </si>
  <si>
    <t>Kommune</t>
  </si>
  <si>
    <t>Prosjektnummer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</si>
  <si>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</si>
  <si>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</si>
  <si>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</si>
  <si>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</si>
  <si>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</si>
  <si>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</si>
  <si>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</si>
  <si>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</si>
  <si>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</si>
  <si>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</si>
  <si>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</si>
  <si>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</si>
  <si>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</si>
  <si>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</si>
  <si>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</si>
  <si>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</si>
  <si>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</si>
  <si>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</si>
  <si>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</si>
  <si>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</si>
  <si>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</si>
  <si>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</si>
  <si>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</si>
  <si>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</si>
  <si>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</si>
  <si>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</si>
  <si>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</si>
  <si>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</si>
  <si>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</si>
  <si>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</si>
  <si>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</si>
  <si>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</si>
  <si>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</si>
  <si>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</si>
  <si>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</si>
  <si>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</si>
  <si>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Bø</t>
  </si>
  <si>
    <t>Sauherad</t>
  </si>
  <si>
    <t>Nome</t>
  </si>
  <si>
    <t>Seljord</t>
  </si>
  <si>
    <t>Skien</t>
  </si>
  <si>
    <t>Notodden</t>
  </si>
  <si>
    <t>Kviteseid</t>
  </si>
  <si>
    <t>Hjartdal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</si>
  <si>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</si>
  <si>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</si>
  <si>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</si>
  <si>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</si>
  <si>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</si>
  <si>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</si>
  <si>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</si>
  <si>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</si>
  <si>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</si>
  <si>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</si>
  <si>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</si>
  <si>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</si>
  <si>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Fortjenesteprognose</t>
  </si>
  <si>
    <t>Kontraktsansvarlig</t>
  </si>
  <si>
    <t>Prosjektleder</t>
  </si>
  <si>
    <t>Jørgen</t>
  </si>
  <si>
    <t>Linn</t>
  </si>
  <si>
    <t>Kåre</t>
  </si>
  <si>
    <t>Leonard</t>
  </si>
  <si>
    <t>Monica</t>
  </si>
  <si>
    <t>Jesper</t>
  </si>
  <si>
    <t>Guttorm</t>
  </si>
  <si>
    <t>Investering</t>
  </si>
  <si>
    <t>Anleggsmaskin</t>
  </si>
  <si>
    <t>Årlig rente</t>
  </si>
  <si>
    <t>Antall år</t>
  </si>
  <si>
    <t>Avdrag</t>
  </si>
  <si>
    <t>Betalingsplan</t>
  </si>
  <si>
    <t>Totalt</t>
  </si>
  <si>
    <t>Renter</t>
  </si>
  <si>
    <t>Innbetaling 1</t>
  </si>
  <si>
    <t>Innbetaling 2</t>
  </si>
  <si>
    <t>Innbetaling 3</t>
  </si>
  <si>
    <t>Innbetaling 4</t>
  </si>
  <si>
    <t>Innbetaling 5</t>
  </si>
  <si>
    <t>Innbetaling 6</t>
  </si>
  <si>
    <t>Innbetaling 7</t>
  </si>
  <si>
    <t>Innbetaling 8</t>
  </si>
  <si>
    <t>Innbetaling 9</t>
  </si>
  <si>
    <t>Innbetaling 10</t>
  </si>
  <si>
    <t>Innbetaling 11</t>
  </si>
  <si>
    <t>Innbetaling 12</t>
  </si>
  <si>
    <t>Innbetaling 13</t>
  </si>
  <si>
    <t>Innbetaling 14</t>
  </si>
  <si>
    <t>Innbetaling 15</t>
  </si>
  <si>
    <t>Innbetaling 16</t>
  </si>
  <si>
    <t>Innbetaling 17</t>
  </si>
  <si>
    <t>Innbetaling 18</t>
  </si>
  <si>
    <t>Innbetaling 19</t>
  </si>
  <si>
    <t>Innbetaling 20</t>
  </si>
  <si>
    <t>Restlån</t>
  </si>
  <si>
    <t>Totaler</t>
  </si>
  <si>
    <t>Ja</t>
  </si>
  <si>
    <t>Nei</t>
  </si>
  <si>
    <t>Kvantumsrabatt</t>
  </si>
  <si>
    <t>Dato</t>
  </si>
  <si>
    <t>Bonuskunde</t>
  </si>
  <si>
    <t>Bonusprogram</t>
  </si>
  <si>
    <t>Terminer per år</t>
  </si>
  <si>
    <t>Terminbeløp</t>
  </si>
  <si>
    <t xml:space="preserve"> </t>
  </si>
  <si>
    <t>Radetiketter</t>
  </si>
  <si>
    <t>Totalsum</t>
  </si>
  <si>
    <t>Kolonneetiketter</t>
  </si>
  <si>
    <t>Summer av Verdi</t>
  </si>
  <si>
    <t>$B$4</t>
  </si>
  <si>
    <t>$B$8</t>
  </si>
  <si>
    <t>Renteøkning</t>
  </si>
  <si>
    <t>Rentekutt</t>
  </si>
  <si>
    <t>Scenariosammendrag</t>
  </si>
  <si>
    <t>Endringsceller:</t>
  </si>
  <si>
    <t>Gjeldende verdier:</t>
  </si>
  <si>
    <t>Resultatceller:</t>
  </si>
  <si>
    <t>Merk: Gjeldende verdier representerer verdiene til endringscellene da</t>
  </si>
  <si>
    <t>sammendragsrapporten ble laget. Endringscellene for hvert</t>
  </si>
  <si>
    <t>scenario er merket med grått.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</si>
</sst>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kr&quot;\ #,##0.00;[Red]\-&quot;kr&quot;\ #,##0.00"/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_ &quot;kr&quot;\ * #,##0.00_ ;_ &quot;kr&quot;\ * \-#,##0.00_ ;_ &quot;kr&quot;\ * &quot;-&quot;??_ ;_ @_ "/>
    <numFmt numFmtId="165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/>
      <right/>
      <top/>
      <bottom style="thin">
        <color theme="2" tint="-0.74999237037263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2" tint="-0.749992370372631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44" fontId="0" fillId="0" borderId="0" xfId="2" applyFont="1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 applyAlignment="1">
      <alignment horizontal="right"/>
    </xf>
    <xf numFmtId="43" fontId="0" fillId="0" borderId="0" xfId="1" applyFont="1"/>
    <xf numFmtId="43" fontId="0" fillId="0" borderId="2" xfId="1" applyFont="1" applyBorder="1"/>
    <xf numFmtId="43" fontId="0" fillId="0" borderId="3" xfId="1" applyFont="1" applyBorder="1"/>
    <xf numFmtId="9" fontId="0" fillId="0" borderId="0" xfId="1" applyNumberFormat="1" applyFont="1"/>
    <xf numFmtId="9" fontId="0" fillId="0" borderId="0" xfId="0" applyNumberFormat="1"/>
    <xf numFmtId="9" fontId="0" fillId="0" borderId="0" xfId="3" applyFont="1" applyAlignment="1">
      <alignment horizontal="center"/>
    </xf>
    <xf numFmtId="0" fontId="0" fillId="0" borderId="0" xfId="0" applyAlignment="1">
      <alignment horizontal="center" wrapText="1"/>
    </xf>
    <xf numFmtId="43" fontId="0" fillId="0" borderId="0" xfId="1" applyFont="1" applyFill="1" applyBorder="1"/>
    <xf numFmtId="0" fontId="0" fillId="0" borderId="5" xfId="0" applyBorder="1"/>
    <xf numFmtId="0" fontId="3" fillId="0" borderId="5" xfId="0" applyFont="1" applyBorder="1"/>
    <xf numFmtId="0" fontId="3" fillId="0" borderId="0" xfId="0" applyFont="1" applyFill="1" applyBorder="1"/>
    <xf numFmtId="44" fontId="3" fillId="0" borderId="5" xfId="2" applyFont="1" applyBorder="1"/>
    <xf numFmtId="0" fontId="0" fillId="0" borderId="0" xfId="0" applyFont="1" applyBorder="1"/>
    <xf numFmtId="0" fontId="0" fillId="0" borderId="0" xfId="0" quotePrefix="1" applyFont="1" applyBorder="1"/>
    <xf numFmtId="44" fontId="1" fillId="0" borderId="0" xfId="2" applyFont="1" applyBorder="1"/>
    <xf numFmtId="0" fontId="0" fillId="0" borderId="0" xfId="0" applyFont="1" applyFill="1" applyBorder="1"/>
    <xf numFmtId="9" fontId="0" fillId="0" borderId="0" xfId="3" applyFont="1"/>
    <xf numFmtId="0" fontId="0" fillId="3" borderId="0" xfId="0" applyFill="1"/>
    <xf numFmtId="44" fontId="0" fillId="3" borderId="0" xfId="2" applyFont="1" applyFill="1"/>
    <xf numFmtId="0" fontId="0" fillId="4" borderId="4" xfId="0" applyFill="1" applyBorder="1"/>
    <xf numFmtId="44" fontId="0" fillId="4" borderId="4" xfId="2" applyFont="1" applyFill="1" applyBorder="1"/>
    <xf numFmtId="14" fontId="0" fillId="0" borderId="0" xfId="0" applyNumberFormat="1"/>
    <xf numFmtId="44" fontId="0" fillId="0" borderId="0" xfId="0" applyNumberFormat="1"/>
    <xf numFmtId="165" fontId="0" fillId="0" borderId="0" xfId="1" applyNumberFormat="1" applyFont="1"/>
    <xf numFmtId="14" fontId="0" fillId="2" borderId="0" xfId="0" applyNumberFormat="1" applyFill="1"/>
    <xf numFmtId="44" fontId="0" fillId="0" borderId="6" xfId="2" applyFont="1" applyBorder="1"/>
    <xf numFmtId="44" fontId="0" fillId="0" borderId="3" xfId="2" applyFont="1" applyBorder="1"/>
    <xf numFmtId="43" fontId="3" fillId="0" borderId="4" xfId="1" applyFont="1" applyBorder="1"/>
    <xf numFmtId="44" fontId="3" fillId="0" borderId="4" xfId="2" applyFont="1" applyBorder="1"/>
    <xf numFmtId="0" fontId="4" fillId="0" borderId="0" xfId="0" applyFont="1"/>
    <xf numFmtId="44" fontId="4" fillId="0" borderId="0" xfId="2" applyFont="1"/>
    <xf numFmtId="10" fontId="4" fillId="0" borderId="0" xfId="0" applyNumberFormat="1" applyFont="1"/>
    <xf numFmtId="8" fontId="4" fillId="0" borderId="0" xfId="0" applyNumberFormat="1" applyFont="1"/>
    <xf numFmtId="0" fontId="4" fillId="0" borderId="5" xfId="0" applyFont="1" applyBorder="1"/>
    <xf numFmtId="44" fontId="4" fillId="0" borderId="0" xfId="0" applyNumberFormat="1" applyFont="1"/>
    <xf numFmtId="0" fontId="4" fillId="0" borderId="4" xfId="0" applyFont="1" applyBorder="1"/>
    <xf numFmtId="44" fontId="4" fillId="0" borderId="4" xfId="0" applyNumberFormat="1" applyFont="1" applyBorder="1"/>
    <xf numFmtId="8" fontId="4" fillId="0" borderId="4" xfId="0" applyNumberFormat="1" applyFont="1" applyBorder="1"/>
    <xf numFmtId="164" fontId="0" fillId="0" borderId="0" xfId="0" applyNumberFormat="1"/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4" fillId="0" borderId="0" xfId="0" applyNumberFormat="1" applyFo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8" fontId="0" fillId="0" borderId="8" xfId="0" applyNumberFormat="1" applyFill="1" applyBorder="1" applyAlignment="1"/>
    <xf numFmtId="0" fontId="5" fillId="5" borderId="5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0" fillId="0" borderId="3" xfId="0" applyFill="1" applyBorder="1" applyAlignment="1"/>
    <xf numFmtId="0" fontId="6" fillId="6" borderId="0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right"/>
    </xf>
    <xf numFmtId="0" fontId="8" fillId="5" borderId="5" xfId="0" applyFont="1" applyFill="1" applyBorder="1" applyAlignment="1">
      <alignment horizontal="right"/>
    </xf>
    <xf numFmtId="10" fontId="0" fillId="7" borderId="0" xfId="0" applyNumberFormat="1" applyFill="1" applyBorder="1" applyAlignment="1"/>
    <xf numFmtId="0" fontId="9" fillId="0" borderId="0" xfId="0" applyFont="1" applyFill="1" applyBorder="1" applyAlignment="1">
      <alignment vertical="top" wrapText="1"/>
    </xf>
  </cellXfs>
  <cellStyles count="4">
    <cellStyle name="Komma" xfId="1" builtinId="3"/>
    <cellStyle name="Normal" xfId="0" builtinId="0"/>
    <cellStyle name="Prosent" xfId="3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b-NO"/>
              <a:t>Berg &amp; Bendiksen – utvikling av driften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2"/>
          <c:tx>
            <c:strRef>
              <c:f>Resultater!$A$6</c:f>
              <c:strCache>
                <c:ptCount val="1"/>
                <c:pt idx="0">
                  <c:v>Driftsresultat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Resultater!$B$1:$H$1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Resultater!$B$6:$H$6</c:f>
              <c:numCache>
                <c:formatCode>_("kr"* #,##0.00_);_("kr"* \(#,##0.00\);_("kr"* "-"??_);_(@_)</c:formatCode>
                <c:ptCount val="7"/>
                <c:pt idx="0">
                  <c:v>-1510000</c:v>
                </c:pt>
                <c:pt idx="1">
                  <c:v>-3100000</c:v>
                </c:pt>
                <c:pt idx="2">
                  <c:v>2100000</c:v>
                </c:pt>
                <c:pt idx="3">
                  <c:v>1620000</c:v>
                </c:pt>
                <c:pt idx="4">
                  <c:v>6735000</c:v>
                </c:pt>
                <c:pt idx="5">
                  <c:v>1105000</c:v>
                </c:pt>
                <c:pt idx="6">
                  <c:v>6655000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7E-49F3-B600-F8613DB24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933544"/>
        <c:axId val="217933872"/>
      </c:barChart>
      <c:lineChart>
        <c:grouping val="standard"/>
        <c:varyColors val="0"/>
        <c:ser>
          <c:idx val="2"/>
          <c:order val="0"/>
          <c:tx>
            <c:strRef>
              <c:f>Resultater!$A$4</c:f>
              <c:strCache>
                <c:ptCount val="1"/>
                <c:pt idx="0">
                  <c:v>Totale driftsinntekter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Resultater!$B$1:$H$1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Resultater!$B$4:$H$4</c:f>
              <c:numCache>
                <c:formatCode>_("kr"* #,##0.00_);_("kr"* \(#,##0.00\);_("kr"* "-"??_);_(@_)</c:formatCode>
                <c:ptCount val="7"/>
                <c:pt idx="0">
                  <c:v>11245000</c:v>
                </c:pt>
                <c:pt idx="1">
                  <c:v>11450000</c:v>
                </c:pt>
                <c:pt idx="2">
                  <c:v>18650000</c:v>
                </c:pt>
                <c:pt idx="3">
                  <c:v>19450000</c:v>
                </c:pt>
                <c:pt idx="4">
                  <c:v>24445000</c:v>
                </c:pt>
                <c:pt idx="5">
                  <c:v>21155000</c:v>
                </c:pt>
                <c:pt idx="6">
                  <c:v>27790000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7E-49F3-B600-F8613DB24FF4}"/>
            </c:ext>
          </c:extLst>
        </c:ser>
        <c:ser>
          <c:idx val="3"/>
          <c:order val="1"/>
          <c:tx>
            <c:strRef>
              <c:f>Resultater!$A$5</c:f>
              <c:strCache>
                <c:ptCount val="1"/>
                <c:pt idx="0">
                  <c:v>Totale driftskostnader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Resultater!$B$1:$H$1</c:f>
              <c:numCache>
                <c:formatCode>General</c:formatCod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numCache>
            </c:numRef>
          </c:cat>
          <c:val>
            <c:numRef>
              <c:f>Resultater!$B$5:$H$5</c:f>
              <c:numCache>
                <c:formatCode>_("kr"* #,##0.00_);_("kr"* \(#,##0.00\);_("kr"* "-"??_);_(@_)</c:formatCode>
                <c:ptCount val="7"/>
                <c:pt idx="0">
                  <c:v>12755000</c:v>
                </c:pt>
                <c:pt idx="1">
                  <c:v>14550000</c:v>
                </c:pt>
                <c:pt idx="2">
                  <c:v>16550000</c:v>
                </c:pt>
                <c:pt idx="3">
                  <c:v>17830000</c:v>
                </c:pt>
                <c:pt idx="4">
                  <c:v>17710000</c:v>
                </c:pt>
                <c:pt idx="5">
                  <c:v>20050000</c:v>
                </c:pt>
                <c:pt idx="6">
                  <c:v>21135000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7E-49F3-B600-F8613DB24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933544"/>
        <c:axId val="217933872"/>
      </c:lineChart>
      <c:catAx>
        <c:axId val="217933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År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17933872"/>
        <c:crosses val="autoZero"/>
        <c:auto val="1"/>
        <c:lblAlgn val="ctr"/>
        <c:lblOffset val="100"/>
        <c:noMultiLvlLbl val="0"/>
      </c:catAx>
      <c:valAx>
        <c:axId val="2179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Norske kroner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_(&quot;kr&quot;* #,##0.00_);_(&quot;kr&quot;* \(#,##0.00\);_(&quot;kr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217933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[Oblig 2 - Excel - Robert Anholt.xlsx]Pivottdiagram prosjektleder!Pivottabell4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'Pivottdiagram prosjektleder'!$B$3:$B$4</c:f>
              <c:strCache>
                <c:ptCount val="1"/>
                <c:pt idx="0">
                  <c:v>Guttorm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'Pivottdiagram prosjektleder'!$A$5:$A$13</c:f>
              <c:strCache>
                <c:ptCount val="8"/>
                <c:pt idx="0">
                  <c:v>Bø</c:v>
                </c:pt>
                <c:pt idx="1">
                  <c:v>Hjartdal</c:v>
                </c:pt>
                <c:pt idx="2">
                  <c:v>Kviteseid</c:v>
                </c:pt>
                <c:pt idx="3">
                  <c:v>Nome</c:v>
                </c:pt>
                <c:pt idx="4">
                  <c:v>Notodden</c:v>
                </c:pt>
                <c:pt idx="5">
                  <c:v>Sauherad</c:v>
                </c:pt>
                <c:pt idx="6">
                  <c:v>Seljord</c:v>
                </c:pt>
                <c:pt idx="7">
                  <c:v>Skien</c:v>
                </c:pt>
              </c:strCache>
            </c:strRef>
          </c:cat>
          <c:val>
            <c:numRef>
              <c:f>'Pivottdiagram prosjektleder'!$B$5:$B$13</c:f>
              <c:numCache>
                <c:formatCode>General</c:formatCode>
                <c:ptCount val="8"/>
                <c:pt idx="0">
                  <c:v>1450000</c:v>
                </c:pt>
                <c:pt idx="3">
                  <c:v>12000</c:v>
                </c:pt>
                <c:pt idx="5">
                  <c:v>85000</c:v>
                </c:pt>
                <c:pt idx="7">
                  <c:v>3455000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30-45C4-AD33-7943BCA6FD27}"/>
            </c:ext>
          </c:extLst>
        </c:ser>
        <c:ser>
          <c:idx val="1"/>
          <c:order val="1"/>
          <c:tx>
            <c:strRef>
              <c:f>'Pivottdiagram prosjektleder'!$C$3:$C$4</c:f>
              <c:strCache>
                <c:ptCount val="1"/>
                <c:pt idx="0">
                  <c:v>Jesper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'Pivottdiagram prosjektleder'!$A$5:$A$13</c:f>
              <c:strCache>
                <c:ptCount val="8"/>
                <c:pt idx="0">
                  <c:v>Bø</c:v>
                </c:pt>
                <c:pt idx="1">
                  <c:v>Hjartdal</c:v>
                </c:pt>
                <c:pt idx="2">
                  <c:v>Kviteseid</c:v>
                </c:pt>
                <c:pt idx="3">
                  <c:v>Nome</c:v>
                </c:pt>
                <c:pt idx="4">
                  <c:v>Notodden</c:v>
                </c:pt>
                <c:pt idx="5">
                  <c:v>Sauherad</c:v>
                </c:pt>
                <c:pt idx="6">
                  <c:v>Seljord</c:v>
                </c:pt>
                <c:pt idx="7">
                  <c:v>Skien</c:v>
                </c:pt>
              </c:strCache>
            </c:strRef>
          </c:cat>
          <c:val>
            <c:numRef>
              <c:f>'Pivottdiagram prosjektleder'!$C$5:$C$13</c:f>
              <c:numCache>
                <c:formatCode>General</c:formatCode>
                <c:ptCount val="8"/>
                <c:pt idx="0">
                  <c:v>3390000</c:v>
                </c:pt>
                <c:pt idx="2">
                  <c:v>3000</c:v>
                </c:pt>
                <c:pt idx="3">
                  <c:v>80000</c:v>
                </c:pt>
                <c:pt idx="4">
                  <c:v>125000</c:v>
                </c:pt>
                <c:pt idx="5">
                  <c:v>971000</c:v>
                </c:pt>
                <c:pt idx="6">
                  <c:v>344000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30-45C4-AD33-7943BCA6FD27}"/>
            </c:ext>
          </c:extLst>
        </c:ser>
        <c:ser>
          <c:idx val="2"/>
          <c:order val="2"/>
          <c:tx>
            <c:strRef>
              <c:f>'Pivottdiagram prosjektleder'!$D$3:$D$4</c:f>
              <c:strCache>
                <c:ptCount val="1"/>
                <c:pt idx="0">
                  <c:v>Leonard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'Pivottdiagram prosjektleder'!$A$5:$A$13</c:f>
              <c:strCache>
                <c:ptCount val="8"/>
                <c:pt idx="0">
                  <c:v>Bø</c:v>
                </c:pt>
                <c:pt idx="1">
                  <c:v>Hjartdal</c:v>
                </c:pt>
                <c:pt idx="2">
                  <c:v>Kviteseid</c:v>
                </c:pt>
                <c:pt idx="3">
                  <c:v>Nome</c:v>
                </c:pt>
                <c:pt idx="4">
                  <c:v>Notodden</c:v>
                </c:pt>
                <c:pt idx="5">
                  <c:v>Sauherad</c:v>
                </c:pt>
                <c:pt idx="6">
                  <c:v>Seljord</c:v>
                </c:pt>
                <c:pt idx="7">
                  <c:v>Skien</c:v>
                </c:pt>
              </c:strCache>
            </c:strRef>
          </c:cat>
          <c:val>
            <c:numRef>
              <c:f>'Pivottdiagram prosjektleder'!$D$5:$D$13</c:f>
              <c:numCache>
                <c:formatCode>General</c:formatCode>
                <c:ptCount val="8"/>
                <c:pt idx="0">
                  <c:v>2706000</c:v>
                </c:pt>
                <c:pt idx="1">
                  <c:v>69000</c:v>
                </c:pt>
                <c:pt idx="3">
                  <c:v>1055000</c:v>
                </c:pt>
                <c:pt idx="4">
                  <c:v>90000</c:v>
                </c:pt>
                <c:pt idx="5">
                  <c:v>210000</c:v>
                </c:pt>
                <c:pt idx="7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30-45C4-AD33-7943BCA6FD27}"/>
            </c:ext>
          </c:extLst>
        </c:ser>
        <c:ser>
          <c:idx val="3"/>
          <c:order val="3"/>
          <c:tx>
            <c:strRef>
              <c:f>'Pivottdiagram prosjektleder'!$E$3:$E$4</c:f>
              <c:strCache>
                <c:ptCount val="1"/>
                <c:pt idx="0">
                  <c:v>Monica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'Pivottdiagram prosjektleder'!$A$5:$A$13</c:f>
              <c:strCache>
                <c:ptCount val="8"/>
                <c:pt idx="0">
                  <c:v>Bø</c:v>
                </c:pt>
                <c:pt idx="1">
                  <c:v>Hjartdal</c:v>
                </c:pt>
                <c:pt idx="2">
                  <c:v>Kviteseid</c:v>
                </c:pt>
                <c:pt idx="3">
                  <c:v>Nome</c:v>
                </c:pt>
                <c:pt idx="4">
                  <c:v>Notodden</c:v>
                </c:pt>
                <c:pt idx="5">
                  <c:v>Sauherad</c:v>
                </c:pt>
                <c:pt idx="6">
                  <c:v>Seljord</c:v>
                </c:pt>
                <c:pt idx="7">
                  <c:v>Skien</c:v>
                </c:pt>
              </c:strCache>
            </c:strRef>
          </c:cat>
          <c:val>
            <c:numRef>
              <c:f>'Pivottdiagram prosjektleder'!$E$5:$E$13</c:f>
              <c:numCache>
                <c:formatCode>General</c:formatCode>
                <c:ptCount val="8"/>
                <c:pt idx="0">
                  <c:v>2561000</c:v>
                </c:pt>
                <c:pt idx="2">
                  <c:v>560000</c:v>
                </c:pt>
                <c:pt idx="3">
                  <c:v>615500.00000000396</c:v>
                </c:pt>
                <c:pt idx="4">
                  <c:v>34000</c:v>
                </c:pt>
                <c:pt idx="5">
                  <c:v>167000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30-45C4-AD33-7943BCA6F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8814504"/>
        <c:axId val="598814832"/>
      </c:barChart>
      <c:catAx>
        <c:axId val="598814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98814832"/>
        <c:crosses val="autoZero"/>
        <c:auto val="1"/>
        <c:lblAlgn val="ctr"/>
        <c:lblOffset val="100"/>
        <c:noMultiLvlLbl val="0"/>
      </c:catAx>
      <c:valAx>
        <c:axId val="5988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98814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14</xdr:col>
      <xdr:colOff>38100</xdr:colOff>
      <xdr:row>33</xdr:row>
      <xdr:rowOff>114300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14FC989-BCC2-46E9-A5CC-BD3AC733F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66674</xdr:rowOff>
    </xdr:from>
    <xdr:to>
      <xdr:col>11</xdr:col>
      <xdr:colOff>0</xdr:colOff>
      <xdr:row>36</xdr:row>
      <xdr:rowOff>190499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E2E9090-5AFB-4460-96E0-A2BE5A7BD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t" refreshedDate="43018.003340393516" createdVersion="6" refreshedVersion="6" minRefreshableVersion="3" recordCount="48" xr:uid="{00000000-000A-0000-FFFF-FFFF18000000}">
  <cacheSource type="worksheet">
    <worksheetSource ref="A2:J50" sheet="Kontrakter"/>
  </cacheSource>
  <cacheFields count="10">
    <cacheField name="Prosjektnummer" numFmtId="0">
      <sharedItems/>
    </cacheField>
    <cacheField name="Avtaledato" numFmtId="14">
      <sharedItems containsSemiMixedTypes="0" containsNonDate="0" containsDate="1" containsString="0" minDate="2017-01-06T00:00:00" maxDate="2017-07-01T00:00:00"/>
    </cacheField>
    <cacheField name="Oppstartsdato" numFmtId="14">
      <sharedItems containsSemiMixedTypes="0" containsNonDate="0" containsDate="1" containsString="0" minDate="2017-03-19T00:00:00" maxDate="2017-09-11T00:00:00"/>
    </cacheField>
    <cacheField name="Ferdigdato" numFmtId="14">
      <sharedItems containsSemiMixedTypes="0" containsNonDate="0" containsDate="1" containsString="0" minDate="2017-09-20T00:00:00" maxDate="2018-03-15T00:00:00"/>
    </cacheField>
    <cacheField name="Verdi" numFmtId="44">
      <sharedItems containsSemiMixedTypes="0" containsString="0" containsNumber="1" minValue="3000" maxValue="3455000"/>
    </cacheField>
    <cacheField name="Kommune" numFmtId="0">
      <sharedItems count="8">
        <s v="Bø"/>
        <s v="Sauherad"/>
        <s v="Nome"/>
        <s v="Seljord"/>
        <s v="Skien"/>
        <s v="Notodden"/>
        <s v="Kviteseid"/>
        <s v="Hjartdal"/>
      </sharedItems>
    </cacheField>
    <cacheField name="Fortjenesteprognose" numFmtId="44">
      <sharedItems containsSemiMixedTypes="0" containsString="0" containsNumber="1" minValue="660" maxValue="760100"/>
    </cacheField>
    <cacheField name="Kontraktsansvarlig" numFmtId="0">
      <sharedItems count="3">
        <s v="Jørgen"/>
        <s v="Linn"/>
        <s v="Kåre"/>
      </sharedItems>
    </cacheField>
    <cacheField name="Prosjektleder" numFmtId="0">
      <sharedItems count="4">
        <s v="Leonard"/>
        <s v="Monica"/>
        <s v="Jesper"/>
        <s v="Guttorm"/>
      </sharedItems>
    </cacheField>
    <cacheField name="Antall arbeidere" numFmtId="165">
      <sharedItems containsSemiMixedTypes="0" containsString="0" containsNumber="1" minValue="0.01" maxValue="11.5166666666666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s v="2017-01"/>
    <d v="2017-01-06T00:00:00"/>
    <d v="2017-03-19T00:00:00"/>
    <d v="2017-09-20T00:00:00"/>
    <n v="804000"/>
    <x v="0"/>
    <n v="176880"/>
    <x v="0"/>
    <x v="0"/>
    <n v="2.68"/>
  </r>
  <r>
    <s v="2017-02"/>
    <d v="2017-01-11T00:00:00"/>
    <d v="2017-03-24T00:00:00"/>
    <d v="2017-09-25T00:00:00"/>
    <n v="100000"/>
    <x v="1"/>
    <n v="22000"/>
    <x v="1"/>
    <x v="1"/>
    <n v="0.33333333333333331"/>
  </r>
  <r>
    <s v="2017-03"/>
    <d v="2017-01-16T00:00:00"/>
    <d v="2017-03-29T00:00:00"/>
    <d v="2017-09-30T00:00:00"/>
    <n v="415000"/>
    <x v="0"/>
    <n v="91300"/>
    <x v="0"/>
    <x v="1"/>
    <n v="1.3833333333333333"/>
  </r>
  <r>
    <s v="2017-04"/>
    <d v="2017-01-21T00:00:00"/>
    <d v="2017-04-03T00:00:00"/>
    <d v="2017-10-05T00:00:00"/>
    <n v="80000"/>
    <x v="2"/>
    <n v="17600"/>
    <x v="1"/>
    <x v="2"/>
    <n v="0.26666666666666666"/>
  </r>
  <r>
    <s v="2017-05"/>
    <d v="2017-01-26T00:00:00"/>
    <d v="2017-04-08T00:00:00"/>
    <d v="2017-10-10T00:00:00"/>
    <n v="1800000"/>
    <x v="0"/>
    <n v="396000"/>
    <x v="1"/>
    <x v="0"/>
    <n v="6"/>
  </r>
  <r>
    <s v="2017-06"/>
    <d v="2017-01-31T00:00:00"/>
    <d v="2017-04-13T00:00:00"/>
    <d v="2017-10-15T00:00:00"/>
    <n v="45000"/>
    <x v="1"/>
    <n v="9900"/>
    <x v="0"/>
    <x v="2"/>
    <n v="0.15"/>
  </r>
  <r>
    <s v="2017-07"/>
    <d v="2017-02-05T00:00:00"/>
    <d v="2017-04-18T00:00:00"/>
    <d v="2017-10-20T00:00:00"/>
    <n v="350000"/>
    <x v="0"/>
    <n v="77000"/>
    <x v="2"/>
    <x v="1"/>
    <n v="1.1666666666666667"/>
  </r>
  <r>
    <s v="2017-08"/>
    <d v="2017-02-10T00:00:00"/>
    <d v="2017-04-23T00:00:00"/>
    <d v="2017-10-25T00:00:00"/>
    <n v="210000"/>
    <x v="1"/>
    <n v="46200"/>
    <x v="0"/>
    <x v="0"/>
    <n v="0.7"/>
  </r>
  <r>
    <s v="2017-09"/>
    <d v="2017-02-15T00:00:00"/>
    <d v="2017-04-28T00:00:00"/>
    <d v="2017-10-30T00:00:00"/>
    <n v="13000"/>
    <x v="2"/>
    <n v="2860"/>
    <x v="1"/>
    <x v="1"/>
    <n v="4.3333333333333335E-2"/>
  </r>
  <r>
    <s v="2017-10"/>
    <d v="2017-02-20T00:00:00"/>
    <d v="2017-05-03T00:00:00"/>
    <d v="2017-11-04T00:00:00"/>
    <n v="59000"/>
    <x v="3"/>
    <n v="12980"/>
    <x v="2"/>
    <x v="2"/>
    <n v="0.19666666666666666"/>
  </r>
  <r>
    <s v="2017-11"/>
    <d v="2017-02-25T00:00:00"/>
    <d v="2017-05-08T00:00:00"/>
    <d v="2017-11-09T00:00:00"/>
    <n v="670000"/>
    <x v="0"/>
    <n v="147400"/>
    <x v="0"/>
    <x v="2"/>
    <n v="2.2333333333333334"/>
  </r>
  <r>
    <s v="2017-12"/>
    <d v="2017-03-02T00:00:00"/>
    <d v="2017-05-13T00:00:00"/>
    <d v="2017-11-14T00:00:00"/>
    <n v="3455000"/>
    <x v="4"/>
    <n v="760100"/>
    <x v="1"/>
    <x v="3"/>
    <n v="11.516666666666667"/>
  </r>
  <r>
    <s v="2017-13"/>
    <d v="2017-03-07T00:00:00"/>
    <d v="2017-05-18T00:00:00"/>
    <d v="2017-11-19T00:00:00"/>
    <n v="15000"/>
    <x v="5"/>
    <n v="3300"/>
    <x v="0"/>
    <x v="0"/>
    <n v="0.05"/>
  </r>
  <r>
    <s v="2017-14"/>
    <d v="2017-03-12T00:00:00"/>
    <d v="2017-05-23T00:00:00"/>
    <d v="2017-11-24T00:00:00"/>
    <n v="26000"/>
    <x v="1"/>
    <n v="5720"/>
    <x v="1"/>
    <x v="1"/>
    <n v="8.666666666666667E-2"/>
  </r>
  <r>
    <s v="2017-15"/>
    <d v="2017-03-17T00:00:00"/>
    <d v="2017-05-28T00:00:00"/>
    <d v="2017-11-29T00:00:00"/>
    <n v="560000"/>
    <x v="6"/>
    <n v="123200"/>
    <x v="1"/>
    <x v="1"/>
    <n v="1.8666666666666667"/>
  </r>
  <r>
    <s v="2017-16"/>
    <d v="2017-03-22T00:00:00"/>
    <d v="2017-06-02T00:00:00"/>
    <d v="2017-12-04T00:00:00"/>
    <n v="2355000"/>
    <x v="0"/>
    <n v="518100"/>
    <x v="0"/>
    <x v="2"/>
    <n v="7.85"/>
  </r>
  <r>
    <s v="2017-17"/>
    <d v="2017-03-27T00:00:00"/>
    <d v="2017-06-07T00:00:00"/>
    <d v="2017-12-09T00:00:00"/>
    <n v="15000"/>
    <x v="7"/>
    <n v="3300"/>
    <x v="2"/>
    <x v="0"/>
    <n v="0.05"/>
  </r>
  <r>
    <s v="2017-18"/>
    <d v="2017-04-01T00:00:00"/>
    <d v="2017-06-12T00:00:00"/>
    <d v="2017-12-14T00:00:00"/>
    <n v="57000"/>
    <x v="1"/>
    <n v="12540"/>
    <x v="0"/>
    <x v="2"/>
    <n v="0.19"/>
  </r>
  <r>
    <s v="2017-19"/>
    <d v="2017-04-06T00:00:00"/>
    <d v="2017-06-17T00:00:00"/>
    <d v="2017-12-19T00:00:00"/>
    <n v="147500.00000000399"/>
    <x v="2"/>
    <n v="32450.000000000877"/>
    <x v="1"/>
    <x v="1"/>
    <n v="0.49166666666667996"/>
  </r>
  <r>
    <s v="2017-20"/>
    <d v="2017-04-11T00:00:00"/>
    <d v="2017-06-22T00:00:00"/>
    <d v="2017-12-24T00:00:00"/>
    <n v="75000"/>
    <x v="5"/>
    <n v="16500"/>
    <x v="2"/>
    <x v="0"/>
    <n v="0.25"/>
  </r>
  <r>
    <s v="2017-21"/>
    <d v="2017-04-16T00:00:00"/>
    <d v="2017-06-27T00:00:00"/>
    <d v="2017-12-29T00:00:00"/>
    <n v="35000"/>
    <x v="0"/>
    <n v="7700"/>
    <x v="0"/>
    <x v="1"/>
    <n v="0.11666666666666667"/>
  </r>
  <r>
    <s v="2017-22"/>
    <d v="2017-04-21T00:00:00"/>
    <d v="2017-07-02T00:00:00"/>
    <d v="2018-01-03T00:00:00"/>
    <n v="400000"/>
    <x v="1"/>
    <n v="88000"/>
    <x v="1"/>
    <x v="2"/>
    <n v="1.3333333333333333"/>
  </r>
  <r>
    <s v="2017-23"/>
    <d v="2017-04-26T00:00:00"/>
    <d v="2017-07-07T00:00:00"/>
    <d v="2018-01-08T00:00:00"/>
    <n v="320000"/>
    <x v="0"/>
    <n v="70400"/>
    <x v="0"/>
    <x v="2"/>
    <n v="1.0666666666666667"/>
  </r>
  <r>
    <s v="2017-24"/>
    <d v="2017-05-01T00:00:00"/>
    <d v="2017-07-12T00:00:00"/>
    <d v="2018-01-13T00:00:00"/>
    <n v="12000"/>
    <x v="2"/>
    <n v="2640"/>
    <x v="1"/>
    <x v="3"/>
    <n v="0.04"/>
  </r>
  <r>
    <s v="2017-25"/>
    <d v="2017-05-06T00:00:00"/>
    <d v="2017-07-17T00:00:00"/>
    <d v="2018-01-18T00:00:00"/>
    <n v="7000"/>
    <x v="0"/>
    <n v="1540"/>
    <x v="1"/>
    <x v="0"/>
    <n v="2.3333333333333334E-2"/>
  </r>
  <r>
    <s v="2017-26"/>
    <d v="2017-05-11T00:00:00"/>
    <d v="2017-07-22T00:00:00"/>
    <d v="2018-01-23T00:00:00"/>
    <n v="6000"/>
    <x v="1"/>
    <n v="1320"/>
    <x v="0"/>
    <x v="1"/>
    <n v="0.02"/>
  </r>
  <r>
    <s v="2017-27"/>
    <d v="2017-05-16T00:00:00"/>
    <d v="2017-07-27T00:00:00"/>
    <d v="2018-01-28T00:00:00"/>
    <n v="21000"/>
    <x v="0"/>
    <n v="4620"/>
    <x v="2"/>
    <x v="1"/>
    <n v="7.0000000000000007E-2"/>
  </r>
  <r>
    <s v="2017-28"/>
    <d v="2017-05-21T00:00:00"/>
    <d v="2017-08-01T00:00:00"/>
    <d v="2018-02-02T00:00:00"/>
    <n v="58000"/>
    <x v="1"/>
    <n v="12760"/>
    <x v="0"/>
    <x v="2"/>
    <n v="0.19333333333333333"/>
  </r>
  <r>
    <s v="2017-29"/>
    <d v="2017-05-26T00:00:00"/>
    <d v="2017-08-06T00:00:00"/>
    <d v="2018-02-07T00:00:00"/>
    <n v="165000"/>
    <x v="2"/>
    <n v="36300"/>
    <x v="1"/>
    <x v="0"/>
    <n v="0.55000000000000004"/>
  </r>
  <r>
    <s v="2017-30"/>
    <d v="2017-05-31T00:00:00"/>
    <d v="2017-08-11T00:00:00"/>
    <d v="2018-02-12T00:00:00"/>
    <n v="285000"/>
    <x v="3"/>
    <n v="62700"/>
    <x v="2"/>
    <x v="2"/>
    <n v="0.95"/>
  </r>
  <r>
    <s v="2017-31"/>
    <d v="2017-06-05T00:00:00"/>
    <d v="2017-08-16T00:00:00"/>
    <d v="2018-02-17T00:00:00"/>
    <n v="235000"/>
    <x v="0"/>
    <n v="51700"/>
    <x v="0"/>
    <x v="1"/>
    <n v="0.78333333333333333"/>
  </r>
  <r>
    <s v="2017-32"/>
    <d v="2017-06-10T00:00:00"/>
    <d v="2017-08-21T00:00:00"/>
    <d v="2018-02-22T00:00:00"/>
    <n v="210000"/>
    <x v="4"/>
    <n v="46200"/>
    <x v="1"/>
    <x v="0"/>
    <n v="0.7"/>
  </r>
  <r>
    <s v="2017-33"/>
    <d v="2017-06-15T00:00:00"/>
    <d v="2017-08-26T00:00:00"/>
    <d v="2018-02-27T00:00:00"/>
    <n v="34000"/>
    <x v="5"/>
    <n v="7480"/>
    <x v="0"/>
    <x v="1"/>
    <n v="0.11333333333333333"/>
  </r>
  <r>
    <s v="2017-34"/>
    <d v="2017-06-20T00:00:00"/>
    <d v="2017-08-31T00:00:00"/>
    <d v="2018-03-04T00:00:00"/>
    <n v="16000"/>
    <x v="1"/>
    <n v="3520"/>
    <x v="1"/>
    <x v="2"/>
    <n v="5.3333333333333337E-2"/>
  </r>
  <r>
    <s v="2017-35"/>
    <d v="2017-06-25T00:00:00"/>
    <d v="2017-09-05T00:00:00"/>
    <d v="2018-03-09T00:00:00"/>
    <n v="3000"/>
    <x v="6"/>
    <n v="660"/>
    <x v="1"/>
    <x v="2"/>
    <n v="0.01"/>
  </r>
  <r>
    <s v="2017-36"/>
    <d v="2017-06-30T00:00:00"/>
    <d v="2017-09-10T00:00:00"/>
    <d v="2018-03-14T00:00:00"/>
    <n v="1450000"/>
    <x v="0"/>
    <n v="319000"/>
    <x v="0"/>
    <x v="3"/>
    <n v="4.833333333333333"/>
  </r>
  <r>
    <s v="2017-37"/>
    <d v="2017-06-30T00:00:00"/>
    <d v="2017-09-10T00:00:00"/>
    <d v="2018-03-14T00:00:00"/>
    <n v="54000"/>
    <x v="7"/>
    <n v="11880"/>
    <x v="2"/>
    <x v="0"/>
    <n v="0.18"/>
  </r>
  <r>
    <s v="2017-38"/>
    <d v="2017-06-30T00:00:00"/>
    <d v="2017-09-10T00:00:00"/>
    <d v="2018-03-14T00:00:00"/>
    <n v="35000"/>
    <x v="1"/>
    <n v="7700"/>
    <x v="0"/>
    <x v="1"/>
    <n v="0.11666666666666667"/>
  </r>
  <r>
    <s v="2017-39"/>
    <d v="2017-06-30T00:00:00"/>
    <d v="2017-09-10T00:00:00"/>
    <d v="2018-03-14T00:00:00"/>
    <n v="455000"/>
    <x v="2"/>
    <n v="100100"/>
    <x v="1"/>
    <x v="1"/>
    <n v="1.5166666666666666"/>
  </r>
  <r>
    <s v="2017-40"/>
    <d v="2017-06-30T00:00:00"/>
    <d v="2017-09-10T00:00:00"/>
    <d v="2018-03-14T00:00:00"/>
    <n v="125000"/>
    <x v="5"/>
    <n v="27500"/>
    <x v="2"/>
    <x v="2"/>
    <n v="0.41666666666666669"/>
  </r>
  <r>
    <s v="2017-41"/>
    <d v="2017-06-30T00:00:00"/>
    <d v="2017-09-10T00:00:00"/>
    <d v="2018-03-14T00:00:00"/>
    <n v="95000"/>
    <x v="0"/>
    <n v="20900"/>
    <x v="0"/>
    <x v="0"/>
    <n v="0.31666666666666665"/>
  </r>
  <r>
    <s v="2017-42"/>
    <d v="2017-06-30T00:00:00"/>
    <d v="2017-09-10T00:00:00"/>
    <d v="2018-03-14T00:00:00"/>
    <n v="75000"/>
    <x v="1"/>
    <n v="16500"/>
    <x v="1"/>
    <x v="2"/>
    <n v="0.25"/>
  </r>
  <r>
    <s v="2017-43"/>
    <d v="2017-06-30T00:00:00"/>
    <d v="2017-09-10T00:00:00"/>
    <d v="2018-03-14T00:00:00"/>
    <n v="1250000"/>
    <x v="0"/>
    <n v="275000"/>
    <x v="0"/>
    <x v="1"/>
    <n v="4.166666666666667"/>
  </r>
  <r>
    <s v="2017-44"/>
    <d v="2017-06-30T00:00:00"/>
    <d v="2017-09-10T00:00:00"/>
    <d v="2018-03-14T00:00:00"/>
    <n v="890000"/>
    <x v="2"/>
    <n v="195800"/>
    <x v="1"/>
    <x v="0"/>
    <n v="2.9666666666666668"/>
  </r>
  <r>
    <s v="2017-45"/>
    <d v="2017-06-30T00:00:00"/>
    <d v="2017-09-10T00:00:00"/>
    <d v="2018-03-14T00:00:00"/>
    <n v="255000"/>
    <x v="0"/>
    <n v="56100"/>
    <x v="1"/>
    <x v="1"/>
    <n v="0.85"/>
  </r>
  <r>
    <s v="2017-46"/>
    <d v="2017-06-30T00:00:00"/>
    <d v="2017-09-10T00:00:00"/>
    <d v="2018-03-14T00:00:00"/>
    <n v="320000"/>
    <x v="1"/>
    <n v="70400"/>
    <x v="0"/>
    <x v="2"/>
    <n v="1.0666666666666667"/>
  </r>
  <r>
    <s v="2017-47"/>
    <d v="2017-06-30T00:00:00"/>
    <d v="2017-09-10T00:00:00"/>
    <d v="2018-03-14T00:00:00"/>
    <n v="45000"/>
    <x v="0"/>
    <n v="9900"/>
    <x v="2"/>
    <x v="2"/>
    <n v="0.15"/>
  </r>
  <r>
    <s v="2017-48"/>
    <d v="2017-06-30T00:00:00"/>
    <d v="2017-09-10T00:00:00"/>
    <d v="2018-03-14T00:00:00"/>
    <n v="85000"/>
    <x v="1"/>
    <n v="18700"/>
    <x v="0"/>
    <x v="3"/>
    <n v="0.28333333333333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ell3" cacheId="0" applyNumberFormats="0" applyBorderFormats="0" applyFontFormats="0" applyPatternFormats="0" applyAlignmentFormats="0" applyWidthHeightFormats="1" dataCaption="Verdier" updatedVersion="6" minRefreshableVersion="3" useAutoFormatting="1" itemPrintTitles="1" createdVersion="6" indent="0" outline="1" outlineData="1" multipleFieldFilters="0" chartFormat="1">
  <location ref="A3:J8" firstHeaderRow="1" firstDataRow="2" firstDataCol="1"/>
  <pivotFields count="10">
    <pivotField subtotalTop="0" showAll="0"/>
    <pivotField subtotalTop="0" showAll="0"/>
    <pivotField subtotalTop="0" showAll="0"/>
    <pivotField subtotalTop="0" showAll="0"/>
    <pivotField dataField="1" numFmtId="44" subtotalTop="0" showAll="0"/>
    <pivotField axis="axisCol" subtotalTop="0" showAll="0">
      <items count="9">
        <item x="0"/>
        <item x="7"/>
        <item x="6"/>
        <item x="2"/>
        <item x="5"/>
        <item x="1"/>
        <item x="3"/>
        <item x="4"/>
        <item t="default"/>
      </items>
    </pivotField>
    <pivotField numFmtId="44" subtotalTop="0" showAll="0"/>
    <pivotField axis="axisRow" subtotalTop="0" showAll="0">
      <items count="4">
        <item x="0"/>
        <item x="2"/>
        <item x="1"/>
        <item t="default"/>
      </items>
    </pivotField>
    <pivotField subtotalTop="0" showAll="0"/>
    <pivotField subtotalTop="0"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mer av Verdi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ell4" cacheId="0" applyNumberFormats="0" applyBorderFormats="0" applyFontFormats="0" applyPatternFormats="0" applyAlignmentFormats="0" applyWidthHeightFormats="1" dataCaption="Verdier" updatedVersion="6" minRefreshableVersion="3" useAutoFormatting="1" itemPrintTitles="1" createdVersion="6" indent="0" outline="1" outlineData="1" multipleFieldFilters="0" chartFormat="1">
  <location ref="A3:F13" firstHeaderRow="1" firstDataRow="2" firstDataCol="1"/>
  <pivotFields count="10">
    <pivotField showAll="0"/>
    <pivotField numFmtId="14" showAll="0"/>
    <pivotField numFmtId="14" showAll="0"/>
    <pivotField numFmtId="14" showAll="0"/>
    <pivotField dataField="1" numFmtId="44" showAll="0"/>
    <pivotField axis="axisRow" showAll="0">
      <items count="9">
        <item x="0"/>
        <item x="7"/>
        <item x="6"/>
        <item x="2"/>
        <item x="5"/>
        <item x="1"/>
        <item x="3"/>
        <item x="4"/>
        <item t="default"/>
      </items>
    </pivotField>
    <pivotField numFmtId="44" showAll="0"/>
    <pivotField showAll="0"/>
    <pivotField axis="axisCol" showAll="0">
      <items count="5">
        <item x="3"/>
        <item x="2"/>
        <item x="0"/>
        <item x="1"/>
        <item t="default"/>
      </items>
    </pivotField>
    <pivotField numFmtId="165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dataFields count="1">
    <dataField name="Summer av Verdi" fld="4" baseField="0" baseItem="0"/>
  </dataFields>
  <chartFormats count="7">
    <chartFormat chart="0" format="5" series="1">
      <pivotArea type="data" outline="0" fieldPosition="0">
        <references count="1">
          <reference field="8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8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8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8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CR1" workbookViewId="0">
      <selection activeCell="F32" sqref="F32"/>
    </sheetView>
  </sheetViews>
  <sheetFormatPr baseColWidth="10" defaultColWidth="11.42578125" defaultRowHeight="15" x14ac:dyDescent="0.25"/>
  <cols>
    <col min="1" max="1" width="23.28515625" bestFit="1" customWidth="1"/>
    <col min="2" max="2" width="24" bestFit="1" customWidth="1"/>
    <col min="5" max="5" width="13.5703125" bestFit="1" customWidth="1"/>
  </cols>
  <sheetData>
    <row r="1" spans="1:5" ht="18.75" x14ac:dyDescent="0.3">
      <c r="A1" s="1" t="s">
        <v>15</v>
      </c>
      <c r="B1" s="1"/>
      <c r="C1" s="1" t="s">
        <v>0</v>
      </c>
      <c r="D1" s="1">
        <v>23443</v>
      </c>
    </row>
    <row r="2" spans="1:5" x14ac:dyDescent="0.25">
      <c r="A2" s="2"/>
      <c r="B2" s="2"/>
      <c r="C2" s="2" t="s">
        <v>204</v>
      </c>
      <c r="D2" s="32">
        <v>42668</v>
      </c>
    </row>
    <row r="3" spans="1:5" x14ac:dyDescent="0.25">
      <c r="A3" t="s">
        <v>1</v>
      </c>
      <c r="B3">
        <v>1001</v>
      </c>
    </row>
    <row r="4" spans="1:5" x14ac:dyDescent="0.25">
      <c r="A4" t="s">
        <v>16</v>
      </c>
      <c r="B4" s="3" t="str">
        <f>VLOOKUP(B3,Kunder!A2:B30,2,FALSE)</f>
        <v>Byggmester Bob</v>
      </c>
    </row>
    <row r="5" spans="1:5" x14ac:dyDescent="0.25">
      <c r="A5" t="s">
        <v>11</v>
      </c>
      <c r="B5" s="3" t="str">
        <f>VLOOKUP(B4,Kunder!B2:C30,2,FALSE)</f>
        <v>Gull</v>
      </c>
    </row>
    <row r="6" spans="1:5" x14ac:dyDescent="0.25">
      <c r="A6" t="s">
        <v>203</v>
      </c>
      <c r="B6" s="13" t="str">
        <f>IF(Faktura!E20&gt;Rabatt!B2,"Ja","Nei")</f>
        <v>Ja</v>
      </c>
    </row>
    <row r="7" spans="1:5" x14ac:dyDescent="0.25">
      <c r="A7" t="s">
        <v>206</v>
      </c>
      <c r="B7" s="13" t="str">
        <f>VLOOKUP(Faktura!B4,Kunder!B2:D30,3,FALSE)</f>
        <v>Ja</v>
      </c>
    </row>
    <row r="9" spans="1:5" x14ac:dyDescent="0.25">
      <c r="A9" s="16" t="s">
        <v>17</v>
      </c>
      <c r="B9" s="5" t="s">
        <v>18</v>
      </c>
      <c r="C9" s="6" t="s">
        <v>3</v>
      </c>
      <c r="D9" s="7" t="s">
        <v>63</v>
      </c>
      <c r="E9" s="7" t="s">
        <v>5</v>
      </c>
    </row>
    <row r="10" spans="1:5" x14ac:dyDescent="0.25">
      <c r="A10">
        <v>100103</v>
      </c>
      <c r="B10" s="3" t="str">
        <f>VLOOKUP(A10,Varer!$A$3:$B$33,2,FALSE)</f>
        <v>Thermopuss</v>
      </c>
      <c r="C10">
        <v>3</v>
      </c>
      <c r="D10" s="8">
        <f>VLOOKUP(B10,Varer!$B$3:$C$33,2,FALSE)</f>
        <v>640</v>
      </c>
      <c r="E10" s="4">
        <f>SUM(C10*D10)</f>
        <v>1920</v>
      </c>
    </row>
    <row r="11" spans="1:5" x14ac:dyDescent="0.25">
      <c r="A11">
        <v>100104</v>
      </c>
      <c r="B11" s="3" t="str">
        <f>VLOOKUP(A11,Varer!$A$3:$B$33,2,FALSE)</f>
        <v>Glassfibernett</v>
      </c>
      <c r="C11">
        <v>17</v>
      </c>
      <c r="D11" s="8">
        <f>VLOOKUP(B11,Varer!$B$3:$C$33,2,FALSE)</f>
        <v>23</v>
      </c>
      <c r="E11" s="4">
        <f t="shared" ref="E11:E18" si="0">SUM(C11*D11)</f>
        <v>391</v>
      </c>
    </row>
    <row r="12" spans="1:5" x14ac:dyDescent="0.25">
      <c r="A12">
        <v>200104</v>
      </c>
      <c r="B12" s="3" t="str">
        <f>VLOOKUP(A12,Varer!$A$3:$B$33,2,FALSE)</f>
        <v>Startblokk</v>
      </c>
      <c r="C12">
        <v>40</v>
      </c>
      <c r="D12" s="8">
        <f>VLOOKUP(B12,Varer!$B$3:$C$33,2,FALSE)</f>
        <v>38</v>
      </c>
      <c r="E12" s="4">
        <f t="shared" si="0"/>
        <v>1520</v>
      </c>
    </row>
    <row r="13" spans="1:5" x14ac:dyDescent="0.25">
      <c r="A13">
        <v>200105</v>
      </c>
      <c r="B13" s="3" t="str">
        <f>VLOOKUP(A13,Varer!$A$3:$B$33,2,FALSE)</f>
        <v>Universalblokk</v>
      </c>
      <c r="C13">
        <v>256</v>
      </c>
      <c r="D13" s="8">
        <f>VLOOKUP(B13,Varer!$B$3:$C$33,2,FALSE)</f>
        <v>26</v>
      </c>
      <c r="E13" s="4">
        <f t="shared" si="0"/>
        <v>6656</v>
      </c>
    </row>
    <row r="14" spans="1:5" x14ac:dyDescent="0.25">
      <c r="A14">
        <v>100101</v>
      </c>
      <c r="B14" s="3" t="str">
        <f>VLOOKUP(A14,Varer!$A$3:$B$33,2,FALSE)</f>
        <v>Tungbetong</v>
      </c>
      <c r="C14">
        <v>4</v>
      </c>
      <c r="D14" s="8">
        <f>VLOOKUP(B14,Varer!$B$3:$C$33,2,FALSE)</f>
        <v>270</v>
      </c>
      <c r="E14" s="4">
        <f t="shared" si="0"/>
        <v>1080</v>
      </c>
    </row>
    <row r="15" spans="1:5" x14ac:dyDescent="0.25">
      <c r="A15">
        <v>100100</v>
      </c>
      <c r="B15" s="3" t="str">
        <f>VLOOKUP(A15,Varer!$A$3:$B$33,2,FALSE)</f>
        <v>Normalbetong</v>
      </c>
      <c r="C15">
        <v>15</v>
      </c>
      <c r="D15" s="8">
        <f>VLOOKUP(B15,Varer!$B$3:$C$33,2,FALSE)</f>
        <v>250</v>
      </c>
      <c r="E15" s="4">
        <f t="shared" si="0"/>
        <v>3750</v>
      </c>
    </row>
    <row r="16" spans="1:5" x14ac:dyDescent="0.25">
      <c r="A16">
        <v>300101</v>
      </c>
      <c r="B16" s="3" t="str">
        <f>VLOOKUP(A16,Varer!$A$3:$B$33,2,FALSE)</f>
        <v>Transport</v>
      </c>
      <c r="C16">
        <v>35</v>
      </c>
      <c r="D16" s="8">
        <f>VLOOKUP(B16,Varer!$B$3:$C$33,2,FALSE)</f>
        <v>55</v>
      </c>
      <c r="E16" s="4">
        <f t="shared" si="0"/>
        <v>1925</v>
      </c>
    </row>
    <row r="17" spans="1:7" x14ac:dyDescent="0.25">
      <c r="A17">
        <v>400101</v>
      </c>
      <c r="B17" s="3" t="str">
        <f>VLOOKUP(A17,Varer!$A$3:$B$33,2,FALSE)</f>
        <v>Arbeid murer</v>
      </c>
      <c r="C17">
        <v>16</v>
      </c>
      <c r="D17" s="8">
        <f>VLOOKUP(B17,Varer!$B$3:$C$33,2,FALSE)</f>
        <v>700</v>
      </c>
      <c r="E17" s="4">
        <f t="shared" si="0"/>
        <v>11200</v>
      </c>
    </row>
    <row r="18" spans="1:7" x14ac:dyDescent="0.25">
      <c r="A18">
        <v>400102</v>
      </c>
      <c r="B18" s="3" t="str">
        <f>VLOOKUP(A18,Varer!$A$3:$B$33,2,FALSE)</f>
        <v>Arbeid prosjektleder</v>
      </c>
      <c r="C18">
        <v>3</v>
      </c>
      <c r="D18" s="8">
        <f>VLOOKUP(B18,Varer!$B$3:$C$33,2,FALSE)</f>
        <v>900</v>
      </c>
      <c r="E18" s="4">
        <f t="shared" si="0"/>
        <v>2700</v>
      </c>
      <c r="G18" s="47"/>
    </row>
    <row r="19" spans="1:7" x14ac:dyDescent="0.25">
      <c r="B19" s="3"/>
      <c r="D19" s="8"/>
      <c r="E19" s="4"/>
    </row>
    <row r="20" spans="1:7" x14ac:dyDescent="0.25">
      <c r="B20" s="3"/>
      <c r="D20" s="9" t="s">
        <v>6</v>
      </c>
      <c r="E20" s="33">
        <f>SUM(E10:E18)</f>
        <v>31142</v>
      </c>
    </row>
    <row r="21" spans="1:7" x14ac:dyDescent="0.25">
      <c r="B21" s="3"/>
      <c r="C21" s="24">
        <f>VLOOKUP(B5,Rabatt!B3:C5,2,FALSE)+IF(B6="Ja",Rabatt!C2,0)</f>
        <v>0.25</v>
      </c>
      <c r="D21" s="10" t="s">
        <v>7</v>
      </c>
      <c r="E21" s="34">
        <f>E20*C21</f>
        <v>7785.5</v>
      </c>
    </row>
    <row r="22" spans="1:7" x14ac:dyDescent="0.25">
      <c r="B22" s="14"/>
      <c r="D22" s="8"/>
      <c r="E22" s="4"/>
    </row>
    <row r="23" spans="1:7" x14ac:dyDescent="0.25">
      <c r="D23" s="8" t="s">
        <v>8</v>
      </c>
      <c r="E23" s="4">
        <f>E20-E21</f>
        <v>23356.5</v>
      </c>
    </row>
    <row r="24" spans="1:7" x14ac:dyDescent="0.25">
      <c r="C24" s="12">
        <v>0.25</v>
      </c>
      <c r="D24" s="11" t="s">
        <v>9</v>
      </c>
      <c r="E24" s="4">
        <f>E23*C24</f>
        <v>5839.125</v>
      </c>
    </row>
    <row r="25" spans="1:7" ht="15.75" thickBot="1" x14ac:dyDescent="0.3">
      <c r="D25" s="35" t="s">
        <v>10</v>
      </c>
      <c r="E25" s="36">
        <f>SUM(E23:E24)</f>
        <v>29195.625</v>
      </c>
    </row>
    <row r="26" spans="1:7" ht="15.75" thickTop="1" x14ac:dyDescent="0.25">
      <c r="E26" s="4"/>
    </row>
    <row r="27" spans="1:7" x14ac:dyDescent="0.25">
      <c r="B27" t="str">
        <f>IF(B7="Ja","Overføres til Bonuskonto:","")</f>
        <v>Overføres til Bonuskonto:</v>
      </c>
      <c r="C27" s="15"/>
      <c r="E27" s="4">
        <f>IF(B7="Ja",Faktura!E23*Rabatt!C6,"")</f>
        <v>700.69499999999994</v>
      </c>
    </row>
    <row r="28" spans="1:7" x14ac:dyDescent="0.25">
      <c r="C28" s="12"/>
    </row>
    <row r="29" spans="1:7" x14ac:dyDescent="0.25">
      <c r="A29" t="str">
        <f>IF(AND(B5="Gull",B6="Ja",B7="Ja"),"Takk for at du er blant våre beste kunder","Sjekk ut hvordan du kan oppnå større fordeler som kunde hos oss på B&amp;B-B.no")</f>
        <v>Takk for at du er blant våre beste kunder</v>
      </c>
      <c r="C29" s="12"/>
    </row>
    <row r="30" spans="1:7" x14ac:dyDescent="0.25">
      <c r="C30" s="12"/>
    </row>
    <row r="34" spans="7:8" x14ac:dyDescent="0.25">
      <c r="H34" s="46"/>
    </row>
    <row r="35" spans="7:8" x14ac:dyDescent="0.25">
      <c r="G35" t="s">
        <v>209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41" sqref="A41"/>
    </sheetView>
  </sheetViews>
  <sheetFormatPr baseColWidth="10" defaultColWidth="11.42578125" defaultRowHeight="15" x14ac:dyDescent="0.25"/>
  <cols>
    <col min="1" max="1" width="17.140625" customWidth="1"/>
  </cols>
  <sheetData>
    <row r="1" spans="1:3" x14ac:dyDescent="0.25">
      <c r="A1" t="s">
        <v>25</v>
      </c>
      <c r="B1" t="s">
        <v>27</v>
      </c>
      <c r="C1" s="15" t="s">
        <v>2</v>
      </c>
    </row>
    <row r="2" spans="1:3" x14ac:dyDescent="0.25">
      <c r="A2" t="s">
        <v>26</v>
      </c>
      <c r="B2">
        <v>20000</v>
      </c>
      <c r="C2" s="12">
        <v>0.1</v>
      </c>
    </row>
    <row r="3" spans="1:3" x14ac:dyDescent="0.25">
      <c r="A3" t="s">
        <v>11</v>
      </c>
      <c r="B3" t="s">
        <v>21</v>
      </c>
      <c r="C3" s="12">
        <v>0.15</v>
      </c>
    </row>
    <row r="4" spans="1:3" x14ac:dyDescent="0.25">
      <c r="A4" t="s">
        <v>11</v>
      </c>
      <c r="B4" t="s">
        <v>22</v>
      </c>
      <c r="C4" s="12">
        <v>0.1</v>
      </c>
    </row>
    <row r="5" spans="1:3" x14ac:dyDescent="0.25">
      <c r="A5" t="s">
        <v>11</v>
      </c>
      <c r="B5" t="s">
        <v>20</v>
      </c>
      <c r="C5" s="12">
        <v>0</v>
      </c>
    </row>
    <row r="6" spans="1:3" x14ac:dyDescent="0.25">
      <c r="A6" t="s">
        <v>206</v>
      </c>
      <c r="C6" s="1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A2" sqref="A2"/>
    </sheetView>
  </sheetViews>
  <sheetFormatPr baseColWidth="10" defaultColWidth="11.42578125" defaultRowHeight="15" x14ac:dyDescent="0.25"/>
  <cols>
    <col min="3" max="3" width="11.42578125" style="4"/>
  </cols>
  <sheetData>
    <row r="1" spans="1:4" x14ac:dyDescent="0.25">
      <c r="A1" s="17" t="s">
        <v>17</v>
      </c>
      <c r="B1" s="17" t="s">
        <v>18</v>
      </c>
      <c r="C1" s="19" t="s">
        <v>4</v>
      </c>
      <c r="D1" s="18" t="s">
        <v>56</v>
      </c>
    </row>
    <row r="2" spans="1:4" x14ac:dyDescent="0.25">
      <c r="A2" s="20">
        <v>0</v>
      </c>
      <c r="B2" s="21" t="s">
        <v>64</v>
      </c>
      <c r="C2" s="22">
        <v>0</v>
      </c>
      <c r="D2" s="23"/>
    </row>
    <row r="3" spans="1:4" x14ac:dyDescent="0.25">
      <c r="A3">
        <v>100100</v>
      </c>
      <c r="B3" s="3" t="s">
        <v>12</v>
      </c>
      <c r="C3" s="4">
        <v>250</v>
      </c>
      <c r="D3" t="s">
        <v>57</v>
      </c>
    </row>
    <row r="4" spans="1:4" x14ac:dyDescent="0.25">
      <c r="A4">
        <v>100101</v>
      </c>
      <c r="B4" s="3" t="s">
        <v>13</v>
      </c>
      <c r="C4" s="4">
        <v>270</v>
      </c>
      <c r="D4" t="s">
        <v>57</v>
      </c>
    </row>
    <row r="5" spans="1:4" x14ac:dyDescent="0.25">
      <c r="A5">
        <v>100102</v>
      </c>
      <c r="B5" s="3" t="s">
        <v>40</v>
      </c>
      <c r="C5" s="4">
        <v>430</v>
      </c>
      <c r="D5" t="s">
        <v>57</v>
      </c>
    </row>
    <row r="6" spans="1:4" x14ac:dyDescent="0.25">
      <c r="A6">
        <v>100103</v>
      </c>
      <c r="B6" s="3" t="s">
        <v>41</v>
      </c>
      <c r="C6" s="4">
        <v>640</v>
      </c>
      <c r="D6" t="s">
        <v>57</v>
      </c>
    </row>
    <row r="7" spans="1:4" x14ac:dyDescent="0.25">
      <c r="A7">
        <v>100104</v>
      </c>
      <c r="B7" s="3" t="s">
        <v>43</v>
      </c>
      <c r="C7" s="4">
        <v>23</v>
      </c>
      <c r="D7" t="s">
        <v>58</v>
      </c>
    </row>
    <row r="8" spans="1:4" x14ac:dyDescent="0.25">
      <c r="A8">
        <v>200101</v>
      </c>
      <c r="B8" s="3" t="s">
        <v>28</v>
      </c>
      <c r="C8" s="4">
        <v>24</v>
      </c>
      <c r="D8" t="s">
        <v>59</v>
      </c>
    </row>
    <row r="9" spans="1:4" x14ac:dyDescent="0.25">
      <c r="A9">
        <v>200102</v>
      </c>
      <c r="B9" s="3" t="s">
        <v>29</v>
      </c>
      <c r="C9" s="4">
        <v>45</v>
      </c>
      <c r="D9" t="s">
        <v>59</v>
      </c>
    </row>
    <row r="10" spans="1:4" x14ac:dyDescent="0.25">
      <c r="A10">
        <v>200103</v>
      </c>
      <c r="B10" s="3" t="s">
        <v>30</v>
      </c>
      <c r="C10" s="4">
        <v>34</v>
      </c>
      <c r="D10" t="s">
        <v>59</v>
      </c>
    </row>
    <row r="11" spans="1:4" x14ac:dyDescent="0.25">
      <c r="A11">
        <v>200104</v>
      </c>
      <c r="B11" s="3" t="s">
        <v>31</v>
      </c>
      <c r="C11" s="4">
        <v>38</v>
      </c>
      <c r="D11" t="s">
        <v>59</v>
      </c>
    </row>
    <row r="12" spans="1:4" x14ac:dyDescent="0.25">
      <c r="A12">
        <v>200105</v>
      </c>
      <c r="B12" s="3" t="s">
        <v>32</v>
      </c>
      <c r="C12" s="4">
        <v>26</v>
      </c>
      <c r="D12" t="s">
        <v>59</v>
      </c>
    </row>
    <row r="13" spans="1:4" x14ac:dyDescent="0.25">
      <c r="A13">
        <v>200106</v>
      </c>
      <c r="B13" s="3" t="s">
        <v>33</v>
      </c>
      <c r="C13" s="4">
        <v>45</v>
      </c>
      <c r="D13" t="s">
        <v>59</v>
      </c>
    </row>
    <row r="14" spans="1:4" x14ac:dyDescent="0.25">
      <c r="A14">
        <v>200107</v>
      </c>
      <c r="B14" s="3" t="s">
        <v>34</v>
      </c>
      <c r="C14" s="4">
        <v>39</v>
      </c>
      <c r="D14" t="s">
        <v>59</v>
      </c>
    </row>
    <row r="15" spans="1:4" x14ac:dyDescent="0.25">
      <c r="A15">
        <v>200108</v>
      </c>
      <c r="B15" s="3" t="s">
        <v>35</v>
      </c>
      <c r="C15" s="4">
        <v>34</v>
      </c>
      <c r="D15" t="s">
        <v>59</v>
      </c>
    </row>
    <row r="16" spans="1:4" x14ac:dyDescent="0.25">
      <c r="A16">
        <v>200109</v>
      </c>
      <c r="B16" s="3" t="s">
        <v>36</v>
      </c>
      <c r="C16" s="4">
        <v>34</v>
      </c>
      <c r="D16" t="s">
        <v>59</v>
      </c>
    </row>
    <row r="17" spans="1:4" x14ac:dyDescent="0.25">
      <c r="A17">
        <v>200110</v>
      </c>
      <c r="B17" s="3" t="s">
        <v>37</v>
      </c>
      <c r="C17" s="4">
        <v>78</v>
      </c>
      <c r="D17" t="s">
        <v>59</v>
      </c>
    </row>
    <row r="18" spans="1:4" x14ac:dyDescent="0.25">
      <c r="A18">
        <v>200111</v>
      </c>
      <c r="B18" s="3" t="s">
        <v>38</v>
      </c>
      <c r="C18" s="4">
        <v>47</v>
      </c>
      <c r="D18" t="s">
        <v>59</v>
      </c>
    </row>
    <row r="19" spans="1:4" x14ac:dyDescent="0.25">
      <c r="A19">
        <v>200112</v>
      </c>
      <c r="B19" s="3" t="s">
        <v>39</v>
      </c>
      <c r="C19" s="4">
        <v>165</v>
      </c>
      <c r="D19" t="s">
        <v>60</v>
      </c>
    </row>
    <row r="20" spans="1:4" x14ac:dyDescent="0.25">
      <c r="A20">
        <v>200113</v>
      </c>
      <c r="B20" s="3" t="s">
        <v>50</v>
      </c>
      <c r="C20" s="4">
        <v>56</v>
      </c>
      <c r="D20" t="s">
        <v>59</v>
      </c>
    </row>
    <row r="21" spans="1:4" x14ac:dyDescent="0.25">
      <c r="A21">
        <v>200114</v>
      </c>
      <c r="B21" s="3" t="s">
        <v>51</v>
      </c>
      <c r="C21" s="4">
        <v>89</v>
      </c>
      <c r="D21" t="s">
        <v>59</v>
      </c>
    </row>
    <row r="22" spans="1:4" x14ac:dyDescent="0.25">
      <c r="A22">
        <v>200115</v>
      </c>
      <c r="B22" s="3" t="s">
        <v>52</v>
      </c>
      <c r="C22" s="4">
        <v>35</v>
      </c>
      <c r="D22" t="s">
        <v>58</v>
      </c>
    </row>
    <row r="23" spans="1:4" x14ac:dyDescent="0.25">
      <c r="A23">
        <v>200116</v>
      </c>
      <c r="B23" s="3" t="s">
        <v>53</v>
      </c>
      <c r="C23" s="4">
        <v>22</v>
      </c>
      <c r="D23" t="s">
        <v>58</v>
      </c>
    </row>
    <row r="24" spans="1:4" x14ac:dyDescent="0.25">
      <c r="A24">
        <v>200117</v>
      </c>
      <c r="B24" s="3" t="s">
        <v>54</v>
      </c>
      <c r="C24" s="4">
        <v>22</v>
      </c>
      <c r="D24" t="s">
        <v>59</v>
      </c>
    </row>
    <row r="25" spans="1:4" x14ac:dyDescent="0.25">
      <c r="A25">
        <v>200118</v>
      </c>
      <c r="B25" s="3" t="s">
        <v>55</v>
      </c>
      <c r="C25" s="4">
        <v>35</v>
      </c>
      <c r="D25" t="s">
        <v>59</v>
      </c>
    </row>
    <row r="26" spans="1:4" x14ac:dyDescent="0.25">
      <c r="A26">
        <v>200119</v>
      </c>
      <c r="B26" s="3" t="s">
        <v>42</v>
      </c>
      <c r="C26" s="4">
        <v>121</v>
      </c>
      <c r="D26" t="s">
        <v>59</v>
      </c>
    </row>
    <row r="27" spans="1:4" x14ac:dyDescent="0.25">
      <c r="A27">
        <v>300101</v>
      </c>
      <c r="B27" s="3" t="s">
        <v>14</v>
      </c>
      <c r="C27" s="4">
        <v>55</v>
      </c>
      <c r="D27" t="s">
        <v>61</v>
      </c>
    </row>
    <row r="28" spans="1:4" x14ac:dyDescent="0.25">
      <c r="A28">
        <v>400101</v>
      </c>
      <c r="B28" s="3" t="s">
        <v>44</v>
      </c>
      <c r="C28" s="4">
        <v>700</v>
      </c>
      <c r="D28" t="s">
        <v>62</v>
      </c>
    </row>
    <row r="29" spans="1:4" x14ac:dyDescent="0.25">
      <c r="A29">
        <v>400102</v>
      </c>
      <c r="B29" s="3" t="s">
        <v>45</v>
      </c>
      <c r="C29" s="4">
        <v>900</v>
      </c>
      <c r="D29" t="s">
        <v>62</v>
      </c>
    </row>
    <row r="30" spans="1:4" x14ac:dyDescent="0.25">
      <c r="A30">
        <v>400103</v>
      </c>
      <c r="B30" s="3" t="s">
        <v>46</v>
      </c>
      <c r="C30" s="4">
        <v>600</v>
      </c>
      <c r="D30" t="s">
        <v>62</v>
      </c>
    </row>
    <row r="31" spans="1:4" x14ac:dyDescent="0.25">
      <c r="A31">
        <v>400104</v>
      </c>
      <c r="B31" s="3" t="s">
        <v>47</v>
      </c>
      <c r="C31" s="4">
        <v>1400</v>
      </c>
      <c r="D31" t="s">
        <v>62</v>
      </c>
    </row>
    <row r="32" spans="1:4" x14ac:dyDescent="0.25">
      <c r="A32">
        <v>400105</v>
      </c>
      <c r="B32" s="3" t="s">
        <v>48</v>
      </c>
      <c r="C32" s="4">
        <v>680</v>
      </c>
      <c r="D32" t="s">
        <v>62</v>
      </c>
    </row>
    <row r="33" spans="1:4" x14ac:dyDescent="0.25">
      <c r="A33">
        <v>400106</v>
      </c>
      <c r="B33" s="3" t="s">
        <v>49</v>
      </c>
      <c r="C33" s="4">
        <v>750</v>
      </c>
      <c r="D33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baseColWidth="10" defaultColWidth="11.42578125" defaultRowHeight="15" x14ac:dyDescent="0.25"/>
  <cols>
    <col min="1" max="1" width="14.28515625" bestFit="1" customWidth="1"/>
    <col min="2" max="2" width="26.140625" bestFit="1" customWidth="1"/>
    <col min="3" max="3" width="13.28515625" bestFit="1" customWidth="1"/>
  </cols>
  <sheetData>
    <row r="1" spans="1:4" x14ac:dyDescent="0.25">
      <c r="A1" t="s">
        <v>19</v>
      </c>
      <c r="B1" t="s">
        <v>16</v>
      </c>
      <c r="C1" t="s">
        <v>11</v>
      </c>
      <c r="D1" t="s">
        <v>205</v>
      </c>
    </row>
    <row r="2" spans="1:4" x14ac:dyDescent="0.25">
      <c r="A2">
        <v>1001</v>
      </c>
      <c r="B2" t="s">
        <v>23</v>
      </c>
      <c r="C2" t="s">
        <v>21</v>
      </c>
      <c r="D2" t="s">
        <v>201</v>
      </c>
    </row>
    <row r="3" spans="1:4" x14ac:dyDescent="0.25">
      <c r="A3">
        <v>1002</v>
      </c>
      <c r="B3" t="s">
        <v>24</v>
      </c>
      <c r="C3" t="s">
        <v>22</v>
      </c>
      <c r="D3" t="s">
        <v>201</v>
      </c>
    </row>
    <row r="4" spans="1:4" x14ac:dyDescent="0.25">
      <c r="A4">
        <v>1003</v>
      </c>
      <c r="B4" t="s">
        <v>65</v>
      </c>
      <c r="C4" t="s">
        <v>21</v>
      </c>
      <c r="D4" t="s">
        <v>201</v>
      </c>
    </row>
    <row r="5" spans="1:4" x14ac:dyDescent="0.25">
      <c r="A5">
        <v>1004</v>
      </c>
      <c r="B5" t="s">
        <v>66</v>
      </c>
      <c r="C5" t="s">
        <v>22</v>
      </c>
      <c r="D5" t="s">
        <v>202</v>
      </c>
    </row>
    <row r="6" spans="1:4" x14ac:dyDescent="0.25">
      <c r="A6">
        <v>1005</v>
      </c>
      <c r="B6" t="s">
        <v>67</v>
      </c>
      <c r="C6" t="s">
        <v>20</v>
      </c>
      <c r="D6" t="s">
        <v>202</v>
      </c>
    </row>
    <row r="7" spans="1:4" x14ac:dyDescent="0.25">
      <c r="A7">
        <v>1006</v>
      </c>
      <c r="B7" t="s">
        <v>68</v>
      </c>
      <c r="C7" t="s">
        <v>21</v>
      </c>
      <c r="D7" t="s">
        <v>201</v>
      </c>
    </row>
    <row r="8" spans="1:4" x14ac:dyDescent="0.25">
      <c r="A8">
        <v>1007</v>
      </c>
      <c r="B8" t="s">
        <v>69</v>
      </c>
      <c r="C8" t="s">
        <v>22</v>
      </c>
      <c r="D8" t="s">
        <v>201</v>
      </c>
    </row>
    <row r="9" spans="1:4" x14ac:dyDescent="0.25">
      <c r="A9">
        <v>1008</v>
      </c>
      <c r="B9" t="s">
        <v>70</v>
      </c>
      <c r="C9" t="s">
        <v>21</v>
      </c>
      <c r="D9" t="s">
        <v>201</v>
      </c>
    </row>
    <row r="10" spans="1:4" x14ac:dyDescent="0.25">
      <c r="A10">
        <v>1009</v>
      </c>
      <c r="B10" t="s">
        <v>71</v>
      </c>
      <c r="C10" t="s">
        <v>21</v>
      </c>
      <c r="D10" t="s">
        <v>201</v>
      </c>
    </row>
    <row r="11" spans="1:4" x14ac:dyDescent="0.25">
      <c r="A11">
        <v>1010</v>
      </c>
      <c r="B11" t="s">
        <v>72</v>
      </c>
      <c r="C11" t="s">
        <v>21</v>
      </c>
      <c r="D11" t="s">
        <v>201</v>
      </c>
    </row>
    <row r="12" spans="1:4" x14ac:dyDescent="0.25">
      <c r="A12">
        <v>1011</v>
      </c>
      <c r="B12" t="s">
        <v>73</v>
      </c>
      <c r="C12" t="s">
        <v>22</v>
      </c>
      <c r="D12" t="s">
        <v>201</v>
      </c>
    </row>
    <row r="13" spans="1:4" x14ac:dyDescent="0.25">
      <c r="A13">
        <v>1012</v>
      </c>
      <c r="B13" t="s">
        <v>74</v>
      </c>
      <c r="C13" t="s">
        <v>20</v>
      </c>
      <c r="D13" t="s">
        <v>201</v>
      </c>
    </row>
    <row r="14" spans="1:4" x14ac:dyDescent="0.25">
      <c r="A14">
        <v>1013</v>
      </c>
      <c r="B14" t="s">
        <v>75</v>
      </c>
      <c r="C14" t="s">
        <v>22</v>
      </c>
      <c r="D14" t="s">
        <v>202</v>
      </c>
    </row>
    <row r="15" spans="1:4" x14ac:dyDescent="0.25">
      <c r="A15">
        <v>1014</v>
      </c>
      <c r="B15" t="s">
        <v>76</v>
      </c>
      <c r="C15" t="s">
        <v>20</v>
      </c>
      <c r="D15" t="s">
        <v>202</v>
      </c>
    </row>
    <row r="16" spans="1:4" x14ac:dyDescent="0.25">
      <c r="A16">
        <v>1015</v>
      </c>
      <c r="B16" t="s">
        <v>77</v>
      </c>
      <c r="C16" t="s">
        <v>21</v>
      </c>
      <c r="D16" t="s">
        <v>202</v>
      </c>
    </row>
    <row r="17" spans="1:4" x14ac:dyDescent="0.25">
      <c r="A17">
        <v>1016</v>
      </c>
      <c r="B17" t="s">
        <v>78</v>
      </c>
      <c r="C17" t="s">
        <v>22</v>
      </c>
      <c r="D17" t="s">
        <v>202</v>
      </c>
    </row>
    <row r="18" spans="1:4" x14ac:dyDescent="0.25">
      <c r="A18">
        <v>1017</v>
      </c>
      <c r="B18" t="s">
        <v>79</v>
      </c>
      <c r="C18" t="s">
        <v>21</v>
      </c>
      <c r="D18" t="s">
        <v>201</v>
      </c>
    </row>
    <row r="19" spans="1:4" x14ac:dyDescent="0.25">
      <c r="A19">
        <v>1018</v>
      </c>
      <c r="B19" t="s">
        <v>80</v>
      </c>
      <c r="C19" t="s">
        <v>21</v>
      </c>
      <c r="D19" t="s">
        <v>201</v>
      </c>
    </row>
    <row r="20" spans="1:4" x14ac:dyDescent="0.25">
      <c r="A20">
        <v>1019</v>
      </c>
      <c r="B20" t="s">
        <v>81</v>
      </c>
      <c r="C20" t="s">
        <v>21</v>
      </c>
      <c r="D20" t="s">
        <v>201</v>
      </c>
    </row>
    <row r="21" spans="1:4" x14ac:dyDescent="0.25">
      <c r="A21">
        <v>1020</v>
      </c>
      <c r="B21" t="s">
        <v>82</v>
      </c>
      <c r="C21" t="s">
        <v>22</v>
      </c>
      <c r="D21" t="s">
        <v>202</v>
      </c>
    </row>
    <row r="22" spans="1:4" x14ac:dyDescent="0.25">
      <c r="A22">
        <v>1021</v>
      </c>
      <c r="B22" t="s">
        <v>83</v>
      </c>
      <c r="C22" t="s">
        <v>20</v>
      </c>
      <c r="D22" t="s">
        <v>202</v>
      </c>
    </row>
    <row r="23" spans="1:4" x14ac:dyDescent="0.25">
      <c r="A23">
        <v>1022</v>
      </c>
      <c r="B23" t="s">
        <v>84</v>
      </c>
      <c r="C23" t="s">
        <v>22</v>
      </c>
      <c r="D23" t="s">
        <v>202</v>
      </c>
    </row>
    <row r="24" spans="1:4" x14ac:dyDescent="0.25">
      <c r="A24">
        <v>1023</v>
      </c>
      <c r="B24" t="s">
        <v>85</v>
      </c>
      <c r="C24" t="s">
        <v>20</v>
      </c>
      <c r="D24" t="s">
        <v>202</v>
      </c>
    </row>
    <row r="25" spans="1:4" x14ac:dyDescent="0.25">
      <c r="A25">
        <v>1024</v>
      </c>
      <c r="B25" t="s">
        <v>86</v>
      </c>
      <c r="C25" t="s">
        <v>21</v>
      </c>
      <c r="D25" t="s">
        <v>201</v>
      </c>
    </row>
    <row r="26" spans="1:4" x14ac:dyDescent="0.25">
      <c r="A26">
        <v>1025</v>
      </c>
      <c r="B26" t="s">
        <v>87</v>
      </c>
      <c r="C26" t="s">
        <v>22</v>
      </c>
      <c r="D26" t="s">
        <v>201</v>
      </c>
    </row>
    <row r="27" spans="1:4" x14ac:dyDescent="0.25">
      <c r="A27">
        <v>1026</v>
      </c>
      <c r="B27" t="s">
        <v>88</v>
      </c>
      <c r="C27" t="s">
        <v>21</v>
      </c>
      <c r="D27" t="s">
        <v>201</v>
      </c>
    </row>
    <row r="28" spans="1:4" x14ac:dyDescent="0.25">
      <c r="A28">
        <v>1027</v>
      </c>
      <c r="B28" t="s">
        <v>89</v>
      </c>
      <c r="C28" t="s">
        <v>21</v>
      </c>
      <c r="D28" t="s">
        <v>202</v>
      </c>
    </row>
    <row r="29" spans="1:4" x14ac:dyDescent="0.25">
      <c r="A29">
        <v>1028</v>
      </c>
      <c r="B29" t="s">
        <v>90</v>
      </c>
      <c r="C29" t="s">
        <v>21</v>
      </c>
      <c r="D29" t="s">
        <v>202</v>
      </c>
    </row>
    <row r="30" spans="1:4" x14ac:dyDescent="0.25">
      <c r="A30">
        <v>1029</v>
      </c>
      <c r="B30" t="s">
        <v>91</v>
      </c>
      <c r="C30" t="s">
        <v>22</v>
      </c>
      <c r="D30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sqref="A1:H6"/>
    </sheetView>
  </sheetViews>
  <sheetFormatPr baseColWidth="10" defaultColWidth="11.42578125" defaultRowHeight="15" x14ac:dyDescent="0.25"/>
  <cols>
    <col min="1" max="1" width="20.7109375" bestFit="1" customWidth="1"/>
    <col min="2" max="8" width="16.140625" bestFit="1" customWidth="1"/>
  </cols>
  <sheetData>
    <row r="1" spans="1:8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</row>
    <row r="2" spans="1:8" x14ac:dyDescent="0.25">
      <c r="A2" s="25" t="s">
        <v>94</v>
      </c>
      <c r="B2" s="25">
        <v>12</v>
      </c>
      <c r="C2" s="25">
        <v>13</v>
      </c>
      <c r="D2" s="25">
        <v>13</v>
      </c>
      <c r="E2" s="25">
        <v>14</v>
      </c>
      <c r="F2" s="25">
        <v>14</v>
      </c>
      <c r="G2" s="25">
        <v>16</v>
      </c>
      <c r="H2" s="25">
        <v>17</v>
      </c>
    </row>
    <row r="3" spans="1:8" x14ac:dyDescent="0.25">
      <c r="A3" s="25" t="s">
        <v>95</v>
      </c>
      <c r="B3" s="26">
        <f t="shared" ref="B3:H3" si="0">B4/B2</f>
        <v>937083.33333333337</v>
      </c>
      <c r="C3" s="26">
        <f t="shared" si="0"/>
        <v>880769.23076923075</v>
      </c>
      <c r="D3" s="26">
        <f t="shared" si="0"/>
        <v>1434615.3846153845</v>
      </c>
      <c r="E3" s="26">
        <f t="shared" si="0"/>
        <v>1389285.7142857143</v>
      </c>
      <c r="F3" s="26">
        <f t="shared" si="0"/>
        <v>1746071.4285714286</v>
      </c>
      <c r="G3" s="26">
        <f t="shared" si="0"/>
        <v>1322187.5</v>
      </c>
      <c r="H3" s="26">
        <f t="shared" si="0"/>
        <v>1634705.8823529412</v>
      </c>
    </row>
    <row r="4" spans="1:8" x14ac:dyDescent="0.25">
      <c r="A4" t="s">
        <v>96</v>
      </c>
      <c r="B4" s="4">
        <v>11245000</v>
      </c>
      <c r="C4" s="4">
        <v>11450000</v>
      </c>
      <c r="D4" s="4">
        <v>18650000</v>
      </c>
      <c r="E4" s="4">
        <v>19450000</v>
      </c>
      <c r="F4" s="4">
        <v>24445000</v>
      </c>
      <c r="G4" s="4">
        <v>21155000</v>
      </c>
      <c r="H4" s="4">
        <v>27790000</v>
      </c>
    </row>
    <row r="5" spans="1:8" x14ac:dyDescent="0.25">
      <c r="A5" t="s">
        <v>93</v>
      </c>
      <c r="B5" s="4">
        <v>12755000</v>
      </c>
      <c r="C5" s="4">
        <v>14550000</v>
      </c>
      <c r="D5" s="4">
        <v>16550000</v>
      </c>
      <c r="E5" s="4">
        <v>17830000</v>
      </c>
      <c r="F5" s="4">
        <v>17710000</v>
      </c>
      <c r="G5" s="4">
        <v>20050000</v>
      </c>
      <c r="H5" s="4">
        <v>21135000</v>
      </c>
    </row>
    <row r="6" spans="1:8" ht="15.75" thickBot="1" x14ac:dyDescent="0.3">
      <c r="A6" s="27" t="s">
        <v>92</v>
      </c>
      <c r="B6" s="28">
        <f t="shared" ref="B6:H6" si="1">B4-B5</f>
        <v>-1510000</v>
      </c>
      <c r="C6" s="28">
        <f t="shared" si="1"/>
        <v>-3100000</v>
      </c>
      <c r="D6" s="28">
        <f t="shared" si="1"/>
        <v>2100000</v>
      </c>
      <c r="E6" s="28">
        <f t="shared" si="1"/>
        <v>1620000</v>
      </c>
      <c r="F6" s="28">
        <f t="shared" si="1"/>
        <v>6735000</v>
      </c>
      <c r="G6" s="28">
        <f t="shared" si="1"/>
        <v>1105000</v>
      </c>
      <c r="H6" s="28">
        <f t="shared" si="1"/>
        <v>6655000</v>
      </c>
    </row>
    <row r="7" spans="1:8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Q18" sqref="Q1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1"/>
  <sheetViews>
    <sheetView topLeftCell="A13" workbookViewId="0">
      <selection sqref="A1:J51"/>
    </sheetView>
  </sheetViews>
  <sheetFormatPr baseColWidth="10" defaultColWidth="11.42578125" defaultRowHeight="15" x14ac:dyDescent="0.25"/>
  <cols>
    <col min="1" max="1" width="29.140625" customWidth="1"/>
    <col min="5" max="5" width="16.140625" bestFit="1" customWidth="1"/>
    <col min="7" max="7" width="15" bestFit="1" customWidth="1"/>
  </cols>
  <sheetData>
    <row r="1" spans="1:10" x14ac:dyDescent="0.25">
      <c r="A1" t="s">
        <v>97</v>
      </c>
    </row>
    <row r="2" spans="1:10" x14ac:dyDescent="0.25">
      <c r="A2" t="s">
        <v>104</v>
      </c>
      <c r="B2" t="s">
        <v>99</v>
      </c>
      <c r="C2" t="s">
        <v>102</v>
      </c>
      <c r="D2" t="s">
        <v>100</v>
      </c>
      <c r="E2" t="s">
        <v>98</v>
      </c>
      <c r="F2" t="s">
        <v>103</v>
      </c>
      <c r="G2" t="s">
        <v>161</v>
      </c>
      <c r="H2" t="s">
        <v>162</v>
      </c>
      <c r="I2" t="s">
        <v>163</v>
      </c>
      <c r="J2" t="s">
        <v>101</v>
      </c>
    </row>
    <row r="3" spans="1:10" x14ac:dyDescent="0.25">
      <c r="A3" t="s">
        <v>105</v>
      </c>
      <c r="B3" s="29">
        <v>42741</v>
      </c>
      <c r="C3" s="29">
        <v>42813</v>
      </c>
      <c r="D3" s="29">
        <v>42998</v>
      </c>
      <c r="E3" s="4">
        <v>804000</v>
      </c>
      <c r="F3" t="s">
        <v>141</v>
      </c>
      <c r="G3" s="30">
        <f>E3*0.22</f>
        <v>176880</v>
      </c>
      <c r="H3" t="s">
        <v>164</v>
      </c>
      <c r="I3" t="s">
        <v>167</v>
      </c>
      <c r="J3" s="31">
        <f>E3/300000</f>
        <v>2.68</v>
      </c>
    </row>
    <row r="4" spans="1:10" x14ac:dyDescent="0.25">
      <c r="A4" t="s">
        <v>106</v>
      </c>
      <c r="B4" s="29">
        <v>42746</v>
      </c>
      <c r="C4" s="29">
        <v>42818</v>
      </c>
      <c r="D4" s="29">
        <v>43003</v>
      </c>
      <c r="E4" s="4">
        <v>100000</v>
      </c>
      <c r="F4" t="s">
        <v>142</v>
      </c>
      <c r="G4" s="30">
        <f t="shared" ref="G4:G50" si="0">E4*0.22</f>
        <v>22000</v>
      </c>
      <c r="H4" t="s">
        <v>165</v>
      </c>
      <c r="I4" t="s">
        <v>168</v>
      </c>
      <c r="J4" s="31">
        <f t="shared" ref="J4:J50" si="1">E4/300000</f>
        <v>0.33333333333333331</v>
      </c>
    </row>
    <row r="5" spans="1:10" x14ac:dyDescent="0.25">
      <c r="A5" t="s">
        <v>107</v>
      </c>
      <c r="B5" s="29">
        <v>42751</v>
      </c>
      <c r="C5" s="29">
        <v>42823</v>
      </c>
      <c r="D5" s="29">
        <v>43008</v>
      </c>
      <c r="E5" s="4">
        <v>415000</v>
      </c>
      <c r="F5" t="s">
        <v>141</v>
      </c>
      <c r="G5" s="30">
        <f t="shared" si="0"/>
        <v>91300</v>
      </c>
      <c r="H5" t="s">
        <v>164</v>
      </c>
      <c r="I5" t="s">
        <v>168</v>
      </c>
      <c r="J5" s="31">
        <f t="shared" si="1"/>
        <v>1.3833333333333333</v>
      </c>
    </row>
    <row r="6" spans="1:10" x14ac:dyDescent="0.25">
      <c r="A6" t="s">
        <v>108</v>
      </c>
      <c r="B6" s="29">
        <v>42756</v>
      </c>
      <c r="C6" s="29">
        <v>42828</v>
      </c>
      <c r="D6" s="29">
        <v>43013</v>
      </c>
      <c r="E6" s="4">
        <v>80000</v>
      </c>
      <c r="F6" t="s">
        <v>143</v>
      </c>
      <c r="G6" s="30">
        <f t="shared" si="0"/>
        <v>17600</v>
      </c>
      <c r="H6" t="s">
        <v>165</v>
      </c>
      <c r="I6" t="s">
        <v>169</v>
      </c>
      <c r="J6" s="31">
        <f t="shared" si="1"/>
        <v>0.26666666666666666</v>
      </c>
    </row>
    <row r="7" spans="1:10" x14ac:dyDescent="0.25">
      <c r="A7" t="s">
        <v>109</v>
      </c>
      <c r="B7" s="29">
        <v>42761</v>
      </c>
      <c r="C7" s="29">
        <v>42833</v>
      </c>
      <c r="D7" s="29">
        <v>43018</v>
      </c>
      <c r="E7" s="4">
        <v>1800000</v>
      </c>
      <c r="F7" t="s">
        <v>141</v>
      </c>
      <c r="G7" s="30">
        <f t="shared" si="0"/>
        <v>396000</v>
      </c>
      <c r="H7" t="s">
        <v>165</v>
      </c>
      <c r="I7" t="s">
        <v>167</v>
      </c>
      <c r="J7" s="31">
        <f t="shared" si="1"/>
        <v>6</v>
      </c>
    </row>
    <row r="8" spans="1:10" x14ac:dyDescent="0.25">
      <c r="A8" t="s">
        <v>110</v>
      </c>
      <c r="B8" s="29">
        <v>42766</v>
      </c>
      <c r="C8" s="29">
        <v>42838</v>
      </c>
      <c r="D8" s="29">
        <v>43023</v>
      </c>
      <c r="E8" s="4">
        <v>45000</v>
      </c>
      <c r="F8" t="s">
        <v>142</v>
      </c>
      <c r="G8" s="30">
        <f t="shared" si="0"/>
        <v>9900</v>
      </c>
      <c r="H8" t="s">
        <v>164</v>
      </c>
      <c r="I8" t="s">
        <v>169</v>
      </c>
      <c r="J8" s="31">
        <f t="shared" si="1"/>
        <v>0.15</v>
      </c>
    </row>
    <row r="9" spans="1:10" x14ac:dyDescent="0.25">
      <c r="A9" t="s">
        <v>111</v>
      </c>
      <c r="B9" s="29">
        <v>42771</v>
      </c>
      <c r="C9" s="29">
        <v>42843</v>
      </c>
      <c r="D9" s="29">
        <v>43028</v>
      </c>
      <c r="E9" s="4">
        <v>350000</v>
      </c>
      <c r="F9" t="s">
        <v>141</v>
      </c>
      <c r="G9" s="30">
        <f t="shared" si="0"/>
        <v>77000</v>
      </c>
      <c r="H9" t="s">
        <v>166</v>
      </c>
      <c r="I9" t="s">
        <v>168</v>
      </c>
      <c r="J9" s="31">
        <f t="shared" si="1"/>
        <v>1.1666666666666667</v>
      </c>
    </row>
    <row r="10" spans="1:10" x14ac:dyDescent="0.25">
      <c r="A10" t="s">
        <v>112</v>
      </c>
      <c r="B10" s="29">
        <v>42776</v>
      </c>
      <c r="C10" s="29">
        <v>42848</v>
      </c>
      <c r="D10" s="29">
        <v>43033</v>
      </c>
      <c r="E10" s="4">
        <v>210000</v>
      </c>
      <c r="F10" t="s">
        <v>142</v>
      </c>
      <c r="G10" s="30">
        <f t="shared" si="0"/>
        <v>46200</v>
      </c>
      <c r="H10" t="s">
        <v>164</v>
      </c>
      <c r="I10" t="s">
        <v>167</v>
      </c>
      <c r="J10" s="31">
        <f t="shared" si="1"/>
        <v>0.7</v>
      </c>
    </row>
    <row r="11" spans="1:10" x14ac:dyDescent="0.25">
      <c r="A11" t="s">
        <v>113</v>
      </c>
      <c r="B11" s="29">
        <v>42781</v>
      </c>
      <c r="C11" s="29">
        <v>42853</v>
      </c>
      <c r="D11" s="29">
        <v>43038</v>
      </c>
      <c r="E11" s="4">
        <v>13000</v>
      </c>
      <c r="F11" t="s">
        <v>143</v>
      </c>
      <c r="G11" s="30">
        <f t="shared" si="0"/>
        <v>2860</v>
      </c>
      <c r="H11" t="s">
        <v>165</v>
      </c>
      <c r="I11" t="s">
        <v>168</v>
      </c>
      <c r="J11" s="31">
        <f t="shared" si="1"/>
        <v>4.3333333333333335E-2</v>
      </c>
    </row>
    <row r="12" spans="1:10" x14ac:dyDescent="0.25">
      <c r="A12" t="s">
        <v>114</v>
      </c>
      <c r="B12" s="29">
        <v>42786</v>
      </c>
      <c r="C12" s="29">
        <v>42858</v>
      </c>
      <c r="D12" s="29">
        <v>43043</v>
      </c>
      <c r="E12" s="4">
        <v>59000</v>
      </c>
      <c r="F12" t="s">
        <v>144</v>
      </c>
      <c r="G12" s="30">
        <f t="shared" si="0"/>
        <v>12980</v>
      </c>
      <c r="H12" t="s">
        <v>166</v>
      </c>
      <c r="I12" t="s">
        <v>169</v>
      </c>
      <c r="J12" s="31">
        <f t="shared" si="1"/>
        <v>0.19666666666666666</v>
      </c>
    </row>
    <row r="13" spans="1:10" x14ac:dyDescent="0.25">
      <c r="A13" t="s">
        <v>115</v>
      </c>
      <c r="B13" s="29">
        <v>42791</v>
      </c>
      <c r="C13" s="29">
        <v>42863</v>
      </c>
      <c r="D13" s="29">
        <v>43048</v>
      </c>
      <c r="E13" s="4">
        <v>670000</v>
      </c>
      <c r="F13" t="s">
        <v>141</v>
      </c>
      <c r="G13" s="30">
        <f t="shared" si="0"/>
        <v>147400</v>
      </c>
      <c r="H13" t="s">
        <v>164</v>
      </c>
      <c r="I13" t="s">
        <v>169</v>
      </c>
      <c r="J13" s="31">
        <f t="shared" si="1"/>
        <v>2.2333333333333334</v>
      </c>
    </row>
    <row r="14" spans="1:10" x14ac:dyDescent="0.25">
      <c r="A14" t="s">
        <v>116</v>
      </c>
      <c r="B14" s="29">
        <v>42796</v>
      </c>
      <c r="C14" s="29">
        <v>42868</v>
      </c>
      <c r="D14" s="29">
        <v>43053</v>
      </c>
      <c r="E14" s="4">
        <v>3455000</v>
      </c>
      <c r="F14" t="s">
        <v>145</v>
      </c>
      <c r="G14" s="30">
        <f t="shared" si="0"/>
        <v>760100</v>
      </c>
      <c r="H14" t="s">
        <v>165</v>
      </c>
      <c r="I14" t="s">
        <v>170</v>
      </c>
      <c r="J14" s="31">
        <f t="shared" si="1"/>
        <v>11.516666666666667</v>
      </c>
    </row>
    <row r="15" spans="1:10" x14ac:dyDescent="0.25">
      <c r="A15" t="s">
        <v>117</v>
      </c>
      <c r="B15" s="29">
        <v>42801</v>
      </c>
      <c r="C15" s="29">
        <v>42873</v>
      </c>
      <c r="D15" s="29">
        <v>43058</v>
      </c>
      <c r="E15" s="4">
        <v>15000</v>
      </c>
      <c r="F15" t="s">
        <v>146</v>
      </c>
      <c r="G15" s="30">
        <f t="shared" si="0"/>
        <v>3300</v>
      </c>
      <c r="H15" t="s">
        <v>164</v>
      </c>
      <c r="I15" t="s">
        <v>167</v>
      </c>
      <c r="J15" s="31">
        <f t="shared" si="1"/>
        <v>0.05</v>
      </c>
    </row>
    <row r="16" spans="1:10" x14ac:dyDescent="0.25">
      <c r="A16" t="s">
        <v>118</v>
      </c>
      <c r="B16" s="29">
        <v>42806</v>
      </c>
      <c r="C16" s="29">
        <v>42878</v>
      </c>
      <c r="D16" s="29">
        <v>43063</v>
      </c>
      <c r="E16" s="4">
        <v>26000</v>
      </c>
      <c r="F16" t="s">
        <v>142</v>
      </c>
      <c r="G16" s="30">
        <f t="shared" si="0"/>
        <v>5720</v>
      </c>
      <c r="H16" t="s">
        <v>165</v>
      </c>
      <c r="I16" t="s">
        <v>168</v>
      </c>
      <c r="J16" s="31">
        <f t="shared" si="1"/>
        <v>8.666666666666667E-2</v>
      </c>
    </row>
    <row r="17" spans="1:10" x14ac:dyDescent="0.25">
      <c r="A17" t="s">
        <v>119</v>
      </c>
      <c r="B17" s="29">
        <v>42811</v>
      </c>
      <c r="C17" s="29">
        <v>42883</v>
      </c>
      <c r="D17" s="29">
        <v>43068</v>
      </c>
      <c r="E17" s="4">
        <v>560000</v>
      </c>
      <c r="F17" t="s">
        <v>147</v>
      </c>
      <c r="G17" s="30">
        <f t="shared" si="0"/>
        <v>123200</v>
      </c>
      <c r="H17" t="s">
        <v>165</v>
      </c>
      <c r="I17" t="s">
        <v>168</v>
      </c>
      <c r="J17" s="31">
        <f t="shared" si="1"/>
        <v>1.8666666666666667</v>
      </c>
    </row>
    <row r="18" spans="1:10" x14ac:dyDescent="0.25">
      <c r="A18" t="s">
        <v>120</v>
      </c>
      <c r="B18" s="29">
        <v>42816</v>
      </c>
      <c r="C18" s="29">
        <v>42888</v>
      </c>
      <c r="D18" s="29">
        <v>43073</v>
      </c>
      <c r="E18" s="4">
        <v>2355000</v>
      </c>
      <c r="F18" t="s">
        <v>141</v>
      </c>
      <c r="G18" s="30">
        <f t="shared" si="0"/>
        <v>518100</v>
      </c>
      <c r="H18" t="s">
        <v>164</v>
      </c>
      <c r="I18" t="s">
        <v>169</v>
      </c>
      <c r="J18" s="31">
        <f t="shared" si="1"/>
        <v>7.85</v>
      </c>
    </row>
    <row r="19" spans="1:10" x14ac:dyDescent="0.25">
      <c r="A19" t="s">
        <v>121</v>
      </c>
      <c r="B19" s="29">
        <v>42821</v>
      </c>
      <c r="C19" s="29">
        <v>42893</v>
      </c>
      <c r="D19" s="29">
        <v>43078</v>
      </c>
      <c r="E19" s="4">
        <v>15000</v>
      </c>
      <c r="F19" t="s">
        <v>148</v>
      </c>
      <c r="G19" s="30">
        <f t="shared" si="0"/>
        <v>3300</v>
      </c>
      <c r="H19" t="s">
        <v>166</v>
      </c>
      <c r="I19" t="s">
        <v>167</v>
      </c>
      <c r="J19" s="31">
        <f t="shared" si="1"/>
        <v>0.05</v>
      </c>
    </row>
    <row r="20" spans="1:10" x14ac:dyDescent="0.25">
      <c r="A20" t="s">
        <v>122</v>
      </c>
      <c r="B20" s="29">
        <v>42826</v>
      </c>
      <c r="C20" s="29">
        <v>42898</v>
      </c>
      <c r="D20" s="29">
        <v>43083</v>
      </c>
      <c r="E20" s="4">
        <v>57000</v>
      </c>
      <c r="F20" t="s">
        <v>142</v>
      </c>
      <c r="G20" s="30">
        <f t="shared" si="0"/>
        <v>12540</v>
      </c>
      <c r="H20" t="s">
        <v>164</v>
      </c>
      <c r="I20" t="s">
        <v>169</v>
      </c>
      <c r="J20" s="31">
        <f t="shared" si="1"/>
        <v>0.19</v>
      </c>
    </row>
    <row r="21" spans="1:10" x14ac:dyDescent="0.25">
      <c r="A21" t="s">
        <v>123</v>
      </c>
      <c r="B21" s="29">
        <v>42831</v>
      </c>
      <c r="C21" s="29">
        <v>42903</v>
      </c>
      <c r="D21" s="29">
        <v>43088</v>
      </c>
      <c r="E21" s="4">
        <v>147500.00000000399</v>
      </c>
      <c r="F21" t="s">
        <v>143</v>
      </c>
      <c r="G21" s="30">
        <f t="shared" si="0"/>
        <v>32450.000000000877</v>
      </c>
      <c r="H21" t="s">
        <v>165</v>
      </c>
      <c r="I21" t="s">
        <v>168</v>
      </c>
      <c r="J21" s="31">
        <f t="shared" si="1"/>
        <v>0.49166666666667996</v>
      </c>
    </row>
    <row r="22" spans="1:10" x14ac:dyDescent="0.25">
      <c r="A22" t="s">
        <v>124</v>
      </c>
      <c r="B22" s="29">
        <v>42836</v>
      </c>
      <c r="C22" s="29">
        <v>42908</v>
      </c>
      <c r="D22" s="29">
        <v>43093</v>
      </c>
      <c r="E22" s="4">
        <v>75000</v>
      </c>
      <c r="F22" t="s">
        <v>146</v>
      </c>
      <c r="G22" s="30">
        <f t="shared" si="0"/>
        <v>16500</v>
      </c>
      <c r="H22" t="s">
        <v>166</v>
      </c>
      <c r="I22" t="s">
        <v>167</v>
      </c>
      <c r="J22" s="31">
        <f t="shared" si="1"/>
        <v>0.25</v>
      </c>
    </row>
    <row r="23" spans="1:10" x14ac:dyDescent="0.25">
      <c r="A23" t="s">
        <v>125</v>
      </c>
      <c r="B23" s="29">
        <v>42841</v>
      </c>
      <c r="C23" s="29">
        <v>42913</v>
      </c>
      <c r="D23" s="29">
        <v>43098</v>
      </c>
      <c r="E23" s="4">
        <v>35000</v>
      </c>
      <c r="F23" t="s">
        <v>141</v>
      </c>
      <c r="G23" s="30">
        <f t="shared" si="0"/>
        <v>7700</v>
      </c>
      <c r="H23" t="s">
        <v>164</v>
      </c>
      <c r="I23" t="s">
        <v>168</v>
      </c>
      <c r="J23" s="31">
        <f t="shared" si="1"/>
        <v>0.11666666666666667</v>
      </c>
    </row>
    <row r="24" spans="1:10" x14ac:dyDescent="0.25">
      <c r="A24" t="s">
        <v>126</v>
      </c>
      <c r="B24" s="29">
        <v>42846</v>
      </c>
      <c r="C24" s="29">
        <v>42918</v>
      </c>
      <c r="D24" s="29">
        <v>43103</v>
      </c>
      <c r="E24" s="4">
        <v>400000</v>
      </c>
      <c r="F24" t="s">
        <v>142</v>
      </c>
      <c r="G24" s="30">
        <f t="shared" si="0"/>
        <v>88000</v>
      </c>
      <c r="H24" t="s">
        <v>165</v>
      </c>
      <c r="I24" t="s">
        <v>169</v>
      </c>
      <c r="J24" s="31">
        <f t="shared" si="1"/>
        <v>1.3333333333333333</v>
      </c>
    </row>
    <row r="25" spans="1:10" x14ac:dyDescent="0.25">
      <c r="A25" t="s">
        <v>127</v>
      </c>
      <c r="B25" s="29">
        <v>42851</v>
      </c>
      <c r="C25" s="29">
        <v>42923</v>
      </c>
      <c r="D25" s="29">
        <v>43108</v>
      </c>
      <c r="E25" s="4">
        <v>320000</v>
      </c>
      <c r="F25" t="s">
        <v>141</v>
      </c>
      <c r="G25" s="30">
        <f t="shared" si="0"/>
        <v>70400</v>
      </c>
      <c r="H25" t="s">
        <v>164</v>
      </c>
      <c r="I25" t="s">
        <v>169</v>
      </c>
      <c r="J25" s="31">
        <f t="shared" si="1"/>
        <v>1.0666666666666667</v>
      </c>
    </row>
    <row r="26" spans="1:10" x14ac:dyDescent="0.25">
      <c r="A26" t="s">
        <v>128</v>
      </c>
      <c r="B26" s="29">
        <v>42856</v>
      </c>
      <c r="C26" s="29">
        <v>42928</v>
      </c>
      <c r="D26" s="29">
        <v>43113</v>
      </c>
      <c r="E26" s="4">
        <v>12000</v>
      </c>
      <c r="F26" t="s">
        <v>143</v>
      </c>
      <c r="G26" s="30">
        <f t="shared" si="0"/>
        <v>2640</v>
      </c>
      <c r="H26" t="s">
        <v>165</v>
      </c>
      <c r="I26" t="s">
        <v>170</v>
      </c>
      <c r="J26" s="31">
        <f t="shared" si="1"/>
        <v>0.04</v>
      </c>
    </row>
    <row r="27" spans="1:10" x14ac:dyDescent="0.25">
      <c r="A27" t="s">
        <v>129</v>
      </c>
      <c r="B27" s="29">
        <v>42861</v>
      </c>
      <c r="C27" s="29">
        <v>42933</v>
      </c>
      <c r="D27" s="29">
        <v>43118</v>
      </c>
      <c r="E27" s="4">
        <v>7000</v>
      </c>
      <c r="F27" t="s">
        <v>141</v>
      </c>
      <c r="G27" s="30">
        <f t="shared" si="0"/>
        <v>1540</v>
      </c>
      <c r="H27" t="s">
        <v>165</v>
      </c>
      <c r="I27" t="s">
        <v>167</v>
      </c>
      <c r="J27" s="31">
        <f t="shared" si="1"/>
        <v>2.3333333333333334E-2</v>
      </c>
    </row>
    <row r="28" spans="1:10" x14ac:dyDescent="0.25">
      <c r="A28" t="s">
        <v>130</v>
      </c>
      <c r="B28" s="29">
        <v>42866</v>
      </c>
      <c r="C28" s="29">
        <v>42938</v>
      </c>
      <c r="D28" s="29">
        <v>43123</v>
      </c>
      <c r="E28" s="4">
        <v>6000</v>
      </c>
      <c r="F28" t="s">
        <v>142</v>
      </c>
      <c r="G28" s="30">
        <f t="shared" si="0"/>
        <v>1320</v>
      </c>
      <c r="H28" t="s">
        <v>164</v>
      </c>
      <c r="I28" t="s">
        <v>168</v>
      </c>
      <c r="J28" s="31">
        <f t="shared" si="1"/>
        <v>0.02</v>
      </c>
    </row>
    <row r="29" spans="1:10" x14ac:dyDescent="0.25">
      <c r="A29" t="s">
        <v>131</v>
      </c>
      <c r="B29" s="29">
        <v>42871</v>
      </c>
      <c r="C29" s="29">
        <v>42943</v>
      </c>
      <c r="D29" s="29">
        <v>43128</v>
      </c>
      <c r="E29" s="4">
        <v>21000</v>
      </c>
      <c r="F29" t="s">
        <v>141</v>
      </c>
      <c r="G29" s="30">
        <f t="shared" si="0"/>
        <v>4620</v>
      </c>
      <c r="H29" t="s">
        <v>166</v>
      </c>
      <c r="I29" t="s">
        <v>168</v>
      </c>
      <c r="J29" s="31">
        <f t="shared" si="1"/>
        <v>7.0000000000000007E-2</v>
      </c>
    </row>
    <row r="30" spans="1:10" x14ac:dyDescent="0.25">
      <c r="A30" t="s">
        <v>132</v>
      </c>
      <c r="B30" s="29">
        <v>42876</v>
      </c>
      <c r="C30" s="29">
        <v>42948</v>
      </c>
      <c r="D30" s="29">
        <v>43133</v>
      </c>
      <c r="E30" s="4">
        <v>58000</v>
      </c>
      <c r="F30" t="s">
        <v>142</v>
      </c>
      <c r="G30" s="30">
        <f t="shared" si="0"/>
        <v>12760</v>
      </c>
      <c r="H30" t="s">
        <v>164</v>
      </c>
      <c r="I30" t="s">
        <v>169</v>
      </c>
      <c r="J30" s="31">
        <f t="shared" si="1"/>
        <v>0.19333333333333333</v>
      </c>
    </row>
    <row r="31" spans="1:10" x14ac:dyDescent="0.25">
      <c r="A31" t="s">
        <v>133</v>
      </c>
      <c r="B31" s="29">
        <v>42881</v>
      </c>
      <c r="C31" s="29">
        <v>42953</v>
      </c>
      <c r="D31" s="29">
        <v>43138</v>
      </c>
      <c r="E31" s="4">
        <v>165000</v>
      </c>
      <c r="F31" t="s">
        <v>143</v>
      </c>
      <c r="G31" s="30">
        <f t="shared" si="0"/>
        <v>36300</v>
      </c>
      <c r="H31" t="s">
        <v>165</v>
      </c>
      <c r="I31" t="s">
        <v>167</v>
      </c>
      <c r="J31" s="31">
        <f t="shared" si="1"/>
        <v>0.55000000000000004</v>
      </c>
    </row>
    <row r="32" spans="1:10" x14ac:dyDescent="0.25">
      <c r="A32" t="s">
        <v>134</v>
      </c>
      <c r="B32" s="29">
        <v>42886</v>
      </c>
      <c r="C32" s="29">
        <v>42958</v>
      </c>
      <c r="D32" s="29">
        <v>43143</v>
      </c>
      <c r="E32" s="4">
        <v>285000</v>
      </c>
      <c r="F32" t="s">
        <v>144</v>
      </c>
      <c r="G32" s="30">
        <f t="shared" si="0"/>
        <v>62700</v>
      </c>
      <c r="H32" t="s">
        <v>166</v>
      </c>
      <c r="I32" t="s">
        <v>169</v>
      </c>
      <c r="J32" s="31">
        <f t="shared" si="1"/>
        <v>0.95</v>
      </c>
    </row>
    <row r="33" spans="1:10" x14ac:dyDescent="0.25">
      <c r="A33" t="s">
        <v>135</v>
      </c>
      <c r="B33" s="29">
        <v>42891</v>
      </c>
      <c r="C33" s="29">
        <v>42963</v>
      </c>
      <c r="D33" s="29">
        <v>43148</v>
      </c>
      <c r="E33" s="4">
        <v>235000</v>
      </c>
      <c r="F33" t="s">
        <v>141</v>
      </c>
      <c r="G33" s="30">
        <f t="shared" si="0"/>
        <v>51700</v>
      </c>
      <c r="H33" t="s">
        <v>164</v>
      </c>
      <c r="I33" t="s">
        <v>168</v>
      </c>
      <c r="J33" s="31">
        <f t="shared" si="1"/>
        <v>0.78333333333333333</v>
      </c>
    </row>
    <row r="34" spans="1:10" x14ac:dyDescent="0.25">
      <c r="A34" t="s">
        <v>136</v>
      </c>
      <c r="B34" s="29">
        <v>42896</v>
      </c>
      <c r="C34" s="29">
        <v>42968</v>
      </c>
      <c r="D34" s="29">
        <v>43153</v>
      </c>
      <c r="E34" s="4">
        <v>210000</v>
      </c>
      <c r="F34" t="s">
        <v>145</v>
      </c>
      <c r="G34" s="30">
        <f t="shared" si="0"/>
        <v>46200</v>
      </c>
      <c r="H34" t="s">
        <v>165</v>
      </c>
      <c r="I34" t="s">
        <v>167</v>
      </c>
      <c r="J34" s="31">
        <f t="shared" si="1"/>
        <v>0.7</v>
      </c>
    </row>
    <row r="35" spans="1:10" x14ac:dyDescent="0.25">
      <c r="A35" t="s">
        <v>137</v>
      </c>
      <c r="B35" s="29">
        <v>42901</v>
      </c>
      <c r="C35" s="29">
        <v>42973</v>
      </c>
      <c r="D35" s="29">
        <v>43158</v>
      </c>
      <c r="E35" s="4">
        <v>34000</v>
      </c>
      <c r="F35" t="s">
        <v>146</v>
      </c>
      <c r="G35" s="30">
        <f t="shared" si="0"/>
        <v>7480</v>
      </c>
      <c r="H35" t="s">
        <v>164</v>
      </c>
      <c r="I35" t="s">
        <v>168</v>
      </c>
      <c r="J35" s="31">
        <f t="shared" si="1"/>
        <v>0.11333333333333333</v>
      </c>
    </row>
    <row r="36" spans="1:10" x14ac:dyDescent="0.25">
      <c r="A36" t="s">
        <v>138</v>
      </c>
      <c r="B36" s="29">
        <v>42906</v>
      </c>
      <c r="C36" s="29">
        <v>42978</v>
      </c>
      <c r="D36" s="29">
        <v>43163</v>
      </c>
      <c r="E36" s="4">
        <v>16000</v>
      </c>
      <c r="F36" t="s">
        <v>142</v>
      </c>
      <c r="G36" s="30">
        <f t="shared" si="0"/>
        <v>3520</v>
      </c>
      <c r="H36" t="s">
        <v>165</v>
      </c>
      <c r="I36" t="s">
        <v>169</v>
      </c>
      <c r="J36" s="31">
        <f t="shared" si="1"/>
        <v>5.3333333333333337E-2</v>
      </c>
    </row>
    <row r="37" spans="1:10" x14ac:dyDescent="0.25">
      <c r="A37" t="s">
        <v>139</v>
      </c>
      <c r="B37" s="29">
        <v>42911</v>
      </c>
      <c r="C37" s="29">
        <v>42983</v>
      </c>
      <c r="D37" s="29">
        <v>43168</v>
      </c>
      <c r="E37" s="4">
        <v>3000</v>
      </c>
      <c r="F37" t="s">
        <v>147</v>
      </c>
      <c r="G37" s="30">
        <f t="shared" si="0"/>
        <v>660</v>
      </c>
      <c r="H37" t="s">
        <v>165</v>
      </c>
      <c r="I37" t="s">
        <v>169</v>
      </c>
      <c r="J37" s="31">
        <f t="shared" si="1"/>
        <v>0.01</v>
      </c>
    </row>
    <row r="38" spans="1:10" x14ac:dyDescent="0.25">
      <c r="A38" t="s">
        <v>140</v>
      </c>
      <c r="B38" s="29">
        <v>42916</v>
      </c>
      <c r="C38" s="29">
        <v>42988</v>
      </c>
      <c r="D38" s="29">
        <v>43173</v>
      </c>
      <c r="E38" s="4">
        <v>1450000</v>
      </c>
      <c r="F38" t="s">
        <v>141</v>
      </c>
      <c r="G38" s="30">
        <f t="shared" si="0"/>
        <v>319000</v>
      </c>
      <c r="H38" t="s">
        <v>164</v>
      </c>
      <c r="I38" t="s">
        <v>170</v>
      </c>
      <c r="J38" s="31">
        <f t="shared" si="1"/>
        <v>4.833333333333333</v>
      </c>
    </row>
    <row r="39" spans="1:10" x14ac:dyDescent="0.25">
      <c r="A39" t="s">
        <v>149</v>
      </c>
      <c r="B39" s="29">
        <v>42916</v>
      </c>
      <c r="C39" s="29">
        <v>42988</v>
      </c>
      <c r="D39" s="29">
        <v>43173</v>
      </c>
      <c r="E39" s="30">
        <v>54000</v>
      </c>
      <c r="F39" t="s">
        <v>148</v>
      </c>
      <c r="G39" s="30">
        <f t="shared" si="0"/>
        <v>11880</v>
      </c>
      <c r="H39" t="s">
        <v>166</v>
      </c>
      <c r="I39" t="s">
        <v>167</v>
      </c>
      <c r="J39" s="31">
        <f t="shared" si="1"/>
        <v>0.18</v>
      </c>
    </row>
    <row r="40" spans="1:10" x14ac:dyDescent="0.25">
      <c r="A40" t="s">
        <v>150</v>
      </c>
      <c r="B40" s="29">
        <v>42916</v>
      </c>
      <c r="C40" s="29">
        <v>42988</v>
      </c>
      <c r="D40" s="29">
        <v>43173</v>
      </c>
      <c r="E40" s="30">
        <v>35000</v>
      </c>
      <c r="F40" t="s">
        <v>142</v>
      </c>
      <c r="G40" s="30">
        <f t="shared" si="0"/>
        <v>7700</v>
      </c>
      <c r="H40" t="s">
        <v>164</v>
      </c>
      <c r="I40" t="s">
        <v>168</v>
      </c>
      <c r="J40" s="31">
        <f t="shared" si="1"/>
        <v>0.11666666666666667</v>
      </c>
    </row>
    <row r="41" spans="1:10" x14ac:dyDescent="0.25">
      <c r="A41" t="s">
        <v>151</v>
      </c>
      <c r="B41" s="29">
        <v>42916</v>
      </c>
      <c r="C41" s="29">
        <v>42988</v>
      </c>
      <c r="D41" s="29">
        <v>43173</v>
      </c>
      <c r="E41" s="30">
        <v>455000</v>
      </c>
      <c r="F41" t="s">
        <v>143</v>
      </c>
      <c r="G41" s="30">
        <f t="shared" si="0"/>
        <v>100100</v>
      </c>
      <c r="H41" t="s">
        <v>165</v>
      </c>
      <c r="I41" t="s">
        <v>168</v>
      </c>
      <c r="J41" s="31">
        <f t="shared" si="1"/>
        <v>1.5166666666666666</v>
      </c>
    </row>
    <row r="42" spans="1:10" x14ac:dyDescent="0.25">
      <c r="A42" t="s">
        <v>152</v>
      </c>
      <c r="B42" s="29">
        <v>42916</v>
      </c>
      <c r="C42" s="29">
        <v>42988</v>
      </c>
      <c r="D42" s="29">
        <v>43173</v>
      </c>
      <c r="E42" s="30">
        <v>125000</v>
      </c>
      <c r="F42" t="s">
        <v>146</v>
      </c>
      <c r="G42" s="30">
        <f t="shared" si="0"/>
        <v>27500</v>
      </c>
      <c r="H42" t="s">
        <v>166</v>
      </c>
      <c r="I42" t="s">
        <v>169</v>
      </c>
      <c r="J42" s="31">
        <f t="shared" si="1"/>
        <v>0.41666666666666669</v>
      </c>
    </row>
    <row r="43" spans="1:10" x14ac:dyDescent="0.25">
      <c r="A43" t="s">
        <v>153</v>
      </c>
      <c r="B43" s="29">
        <v>42916</v>
      </c>
      <c r="C43" s="29">
        <v>42988</v>
      </c>
      <c r="D43" s="29">
        <v>43173</v>
      </c>
      <c r="E43" s="30">
        <v>95000</v>
      </c>
      <c r="F43" t="s">
        <v>141</v>
      </c>
      <c r="G43" s="30">
        <f t="shared" si="0"/>
        <v>20900</v>
      </c>
      <c r="H43" t="s">
        <v>164</v>
      </c>
      <c r="I43" t="s">
        <v>167</v>
      </c>
      <c r="J43" s="31">
        <f t="shared" si="1"/>
        <v>0.31666666666666665</v>
      </c>
    </row>
    <row r="44" spans="1:10" x14ac:dyDescent="0.25">
      <c r="A44" t="s">
        <v>154</v>
      </c>
      <c r="B44" s="29">
        <v>42916</v>
      </c>
      <c r="C44" s="29">
        <v>42988</v>
      </c>
      <c r="D44" s="29">
        <v>43173</v>
      </c>
      <c r="E44" s="30">
        <v>75000</v>
      </c>
      <c r="F44" t="s">
        <v>142</v>
      </c>
      <c r="G44" s="30">
        <f t="shared" si="0"/>
        <v>16500</v>
      </c>
      <c r="H44" t="s">
        <v>165</v>
      </c>
      <c r="I44" t="s">
        <v>169</v>
      </c>
      <c r="J44" s="31">
        <f t="shared" si="1"/>
        <v>0.25</v>
      </c>
    </row>
    <row r="45" spans="1:10" x14ac:dyDescent="0.25">
      <c r="A45" t="s">
        <v>155</v>
      </c>
      <c r="B45" s="29">
        <v>42916</v>
      </c>
      <c r="C45" s="29">
        <v>42988</v>
      </c>
      <c r="D45" s="29">
        <v>43173</v>
      </c>
      <c r="E45" s="30">
        <v>1250000</v>
      </c>
      <c r="F45" t="s">
        <v>141</v>
      </c>
      <c r="G45" s="30">
        <f t="shared" si="0"/>
        <v>275000</v>
      </c>
      <c r="H45" t="s">
        <v>164</v>
      </c>
      <c r="I45" t="s">
        <v>168</v>
      </c>
      <c r="J45" s="31">
        <f t="shared" si="1"/>
        <v>4.166666666666667</v>
      </c>
    </row>
    <row r="46" spans="1:10" x14ac:dyDescent="0.25">
      <c r="A46" t="s">
        <v>156</v>
      </c>
      <c r="B46" s="29">
        <v>42916</v>
      </c>
      <c r="C46" s="29">
        <v>42988</v>
      </c>
      <c r="D46" s="29">
        <v>43173</v>
      </c>
      <c r="E46" s="30">
        <v>890000</v>
      </c>
      <c r="F46" t="s">
        <v>143</v>
      </c>
      <c r="G46" s="30">
        <f t="shared" si="0"/>
        <v>195800</v>
      </c>
      <c r="H46" t="s">
        <v>165</v>
      </c>
      <c r="I46" t="s">
        <v>167</v>
      </c>
      <c r="J46" s="31">
        <f t="shared" si="1"/>
        <v>2.9666666666666668</v>
      </c>
    </row>
    <row r="47" spans="1:10" x14ac:dyDescent="0.25">
      <c r="A47" t="s">
        <v>157</v>
      </c>
      <c r="B47" s="29">
        <v>42916</v>
      </c>
      <c r="C47" s="29">
        <v>42988</v>
      </c>
      <c r="D47" s="29">
        <v>43173</v>
      </c>
      <c r="E47" s="30">
        <v>255000</v>
      </c>
      <c r="F47" t="s">
        <v>141</v>
      </c>
      <c r="G47" s="30">
        <f t="shared" si="0"/>
        <v>56100</v>
      </c>
      <c r="H47" t="s">
        <v>165</v>
      </c>
      <c r="I47" t="s">
        <v>168</v>
      </c>
      <c r="J47" s="31">
        <f t="shared" si="1"/>
        <v>0.85</v>
      </c>
    </row>
    <row r="48" spans="1:10" x14ac:dyDescent="0.25">
      <c r="A48" t="s">
        <v>158</v>
      </c>
      <c r="B48" s="29">
        <v>42916</v>
      </c>
      <c r="C48" s="29">
        <v>42988</v>
      </c>
      <c r="D48" s="29">
        <v>43173</v>
      </c>
      <c r="E48" s="30">
        <v>320000</v>
      </c>
      <c r="F48" t="s">
        <v>142</v>
      </c>
      <c r="G48" s="30">
        <f t="shared" si="0"/>
        <v>70400</v>
      </c>
      <c r="H48" t="s">
        <v>164</v>
      </c>
      <c r="I48" t="s">
        <v>169</v>
      </c>
      <c r="J48" s="31">
        <f t="shared" si="1"/>
        <v>1.0666666666666667</v>
      </c>
    </row>
    <row r="49" spans="1:10" x14ac:dyDescent="0.25">
      <c r="A49" t="s">
        <v>159</v>
      </c>
      <c r="B49" s="29">
        <v>42916</v>
      </c>
      <c r="C49" s="29">
        <v>42988</v>
      </c>
      <c r="D49" s="29">
        <v>43173</v>
      </c>
      <c r="E49" s="30">
        <v>45000</v>
      </c>
      <c r="F49" t="s">
        <v>141</v>
      </c>
      <c r="G49" s="30">
        <f t="shared" si="0"/>
        <v>9900</v>
      </c>
      <c r="H49" t="s">
        <v>166</v>
      </c>
      <c r="I49" t="s">
        <v>169</v>
      </c>
      <c r="J49" s="31">
        <f t="shared" si="1"/>
        <v>0.15</v>
      </c>
    </row>
    <row r="50" spans="1:10" x14ac:dyDescent="0.25">
      <c r="A50" t="s">
        <v>160</v>
      </c>
      <c r="B50" s="29">
        <v>42916</v>
      </c>
      <c r="C50" s="29">
        <v>42988</v>
      </c>
      <c r="D50" s="29">
        <v>43173</v>
      </c>
      <c r="E50" s="30">
        <v>85000</v>
      </c>
      <c r="F50" t="s">
        <v>142</v>
      </c>
      <c r="G50" s="30">
        <f t="shared" si="0"/>
        <v>18700</v>
      </c>
      <c r="H50" t="s">
        <v>164</v>
      </c>
      <c r="I50" t="s">
        <v>170</v>
      </c>
      <c r="J50" s="31">
        <f t="shared" si="1"/>
        <v>0.28333333333333333</v>
      </c>
    </row>
    <row r="51" spans="1:10" x14ac:dyDescent="0.25">
      <c r="E51" s="30">
        <f>SUM(E3:E50)</f>
        <v>18192500.000000004</v>
      </c>
      <c r="G51" s="30">
        <f>SUM(G3:G50)</f>
        <v>4002350.0000000009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J8"/>
  <sheetViews>
    <sheetView workbookViewId="0">
      <selection activeCell="K17" sqref="K17"/>
    </sheetView>
  </sheetViews>
  <sheetFormatPr baseColWidth="10" defaultRowHeight="15" x14ac:dyDescent="0.25"/>
  <cols>
    <col min="1" max="1" width="16.28515625" bestFit="1" customWidth="1"/>
    <col min="2" max="2" width="18.7109375" bestFit="1" customWidth="1"/>
    <col min="3" max="3" width="8" bestFit="1" customWidth="1"/>
    <col min="4" max="4" width="9.28515625" bestFit="1" customWidth="1"/>
    <col min="5" max="5" width="8" bestFit="1" customWidth="1"/>
    <col min="6" max="6" width="10" bestFit="1" customWidth="1"/>
    <col min="7" max="7" width="9.28515625" bestFit="1" customWidth="1"/>
    <col min="8" max="8" width="7.28515625" bestFit="1" customWidth="1"/>
    <col min="9" max="9" width="8" bestFit="1" customWidth="1"/>
    <col min="10" max="11" width="9.140625" bestFit="1" customWidth="1"/>
    <col min="12" max="13" width="11.5703125" bestFit="1" customWidth="1"/>
    <col min="14" max="33" width="12.5703125" bestFit="1" customWidth="1"/>
    <col min="34" max="43" width="13.5703125" bestFit="1" customWidth="1"/>
    <col min="44" max="44" width="15" bestFit="1" customWidth="1"/>
    <col min="45" max="45" width="10.5703125" bestFit="1" customWidth="1"/>
  </cols>
  <sheetData>
    <row r="3" spans="1:10" x14ac:dyDescent="0.25">
      <c r="A3" s="48" t="s">
        <v>213</v>
      </c>
      <c r="B3" s="48" t="s">
        <v>212</v>
      </c>
    </row>
    <row r="4" spans="1:10" x14ac:dyDescent="0.25">
      <c r="A4" s="48" t="s">
        <v>210</v>
      </c>
      <c r="B4" t="s">
        <v>141</v>
      </c>
      <c r="C4" t="s">
        <v>148</v>
      </c>
      <c r="D4" t="s">
        <v>147</v>
      </c>
      <c r="E4" t="s">
        <v>143</v>
      </c>
      <c r="F4" t="s">
        <v>146</v>
      </c>
      <c r="G4" t="s">
        <v>142</v>
      </c>
      <c r="H4" t="s">
        <v>144</v>
      </c>
      <c r="I4" t="s">
        <v>145</v>
      </c>
      <c r="J4" t="s">
        <v>211</v>
      </c>
    </row>
    <row r="5" spans="1:10" x14ac:dyDescent="0.25">
      <c r="A5" s="49" t="s">
        <v>164</v>
      </c>
      <c r="B5" s="50">
        <v>7629000</v>
      </c>
      <c r="C5" s="50"/>
      <c r="D5" s="50"/>
      <c r="E5" s="50"/>
      <c r="F5" s="50">
        <v>49000</v>
      </c>
      <c r="G5" s="50">
        <v>816000</v>
      </c>
      <c r="H5" s="50"/>
      <c r="I5" s="50"/>
      <c r="J5" s="50">
        <v>8494000</v>
      </c>
    </row>
    <row r="6" spans="1:10" x14ac:dyDescent="0.25">
      <c r="A6" s="49" t="s">
        <v>166</v>
      </c>
      <c r="B6" s="50">
        <v>416000</v>
      </c>
      <c r="C6" s="50">
        <v>69000</v>
      </c>
      <c r="D6" s="50"/>
      <c r="E6" s="50"/>
      <c r="F6" s="50">
        <v>200000</v>
      </c>
      <c r="G6" s="50"/>
      <c r="H6" s="50">
        <v>344000</v>
      </c>
      <c r="I6" s="50"/>
      <c r="J6" s="50">
        <v>1029000</v>
      </c>
    </row>
    <row r="7" spans="1:10" x14ac:dyDescent="0.25">
      <c r="A7" s="49" t="s">
        <v>165</v>
      </c>
      <c r="B7" s="50">
        <v>2062000</v>
      </c>
      <c r="C7" s="50"/>
      <c r="D7" s="50">
        <v>563000</v>
      </c>
      <c r="E7" s="50">
        <v>1762500.000000004</v>
      </c>
      <c r="F7" s="50"/>
      <c r="G7" s="50">
        <v>617000</v>
      </c>
      <c r="H7" s="50"/>
      <c r="I7" s="50">
        <v>3665000</v>
      </c>
      <c r="J7" s="50">
        <v>8669500.0000000037</v>
      </c>
    </row>
    <row r="8" spans="1:10" x14ac:dyDescent="0.25">
      <c r="A8" s="49" t="s">
        <v>211</v>
      </c>
      <c r="B8" s="50">
        <v>10107000</v>
      </c>
      <c r="C8" s="50">
        <v>69000</v>
      </c>
      <c r="D8" s="50">
        <v>563000</v>
      </c>
      <c r="E8" s="50">
        <v>1762500.000000004</v>
      </c>
      <c r="F8" s="50">
        <v>249000</v>
      </c>
      <c r="G8" s="50">
        <v>1433000</v>
      </c>
      <c r="H8" s="50">
        <v>344000</v>
      </c>
      <c r="I8" s="50">
        <v>3665000</v>
      </c>
      <c r="J8" s="50">
        <v>18192500.000000004</v>
      </c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13"/>
  <sheetViews>
    <sheetView topLeftCell="A4" workbookViewId="0">
      <selection activeCell="H9" sqref="H9"/>
    </sheetView>
  </sheetViews>
  <sheetFormatPr baseColWidth="10" defaultRowHeight="15" x14ac:dyDescent="0.25"/>
  <cols>
    <col min="1" max="1" width="16.28515625" bestFit="1" customWidth="1"/>
    <col min="2" max="2" width="18.7109375" bestFit="1" customWidth="1"/>
    <col min="3" max="3" width="8" bestFit="1" customWidth="1"/>
    <col min="4" max="4" width="8.140625" bestFit="1" customWidth="1"/>
    <col min="5" max="5" width="8" bestFit="1" customWidth="1"/>
    <col min="6" max="7" width="9.140625" bestFit="1" customWidth="1"/>
  </cols>
  <sheetData>
    <row r="3" spans="1:6" x14ac:dyDescent="0.25">
      <c r="A3" s="48" t="s">
        <v>213</v>
      </c>
      <c r="B3" s="48" t="s">
        <v>212</v>
      </c>
    </row>
    <row r="4" spans="1:6" x14ac:dyDescent="0.25">
      <c r="A4" s="48" t="s">
        <v>210</v>
      </c>
      <c r="B4" t="s">
        <v>170</v>
      </c>
      <c r="C4" t="s">
        <v>169</v>
      </c>
      <c r="D4" t="s">
        <v>167</v>
      </c>
      <c r="E4" t="s">
        <v>168</v>
      </c>
      <c r="F4" t="s">
        <v>211</v>
      </c>
    </row>
    <row r="5" spans="1:6" x14ac:dyDescent="0.25">
      <c r="A5" s="49" t="s">
        <v>141</v>
      </c>
      <c r="B5" s="50">
        <v>1450000</v>
      </c>
      <c r="C5" s="50">
        <v>3390000</v>
      </c>
      <c r="D5" s="50">
        <v>2706000</v>
      </c>
      <c r="E5" s="50">
        <v>2561000</v>
      </c>
      <c r="F5" s="50">
        <v>10107000</v>
      </c>
    </row>
    <row r="6" spans="1:6" x14ac:dyDescent="0.25">
      <c r="A6" s="49" t="s">
        <v>148</v>
      </c>
      <c r="B6" s="50"/>
      <c r="C6" s="50"/>
      <c r="D6" s="50">
        <v>69000</v>
      </c>
      <c r="E6" s="50"/>
      <c r="F6" s="50">
        <v>69000</v>
      </c>
    </row>
    <row r="7" spans="1:6" x14ac:dyDescent="0.25">
      <c r="A7" s="49" t="s">
        <v>147</v>
      </c>
      <c r="B7" s="50"/>
      <c r="C7" s="50">
        <v>3000</v>
      </c>
      <c r="D7" s="50"/>
      <c r="E7" s="50">
        <v>560000</v>
      </c>
      <c r="F7" s="50">
        <v>563000</v>
      </c>
    </row>
    <row r="8" spans="1:6" x14ac:dyDescent="0.25">
      <c r="A8" s="49" t="s">
        <v>143</v>
      </c>
      <c r="B8" s="50">
        <v>12000</v>
      </c>
      <c r="C8" s="50">
        <v>80000</v>
      </c>
      <c r="D8" s="50">
        <v>1055000</v>
      </c>
      <c r="E8" s="50">
        <v>615500.00000000396</v>
      </c>
      <c r="F8" s="50">
        <v>1762500.000000004</v>
      </c>
    </row>
    <row r="9" spans="1:6" x14ac:dyDescent="0.25">
      <c r="A9" s="49" t="s">
        <v>146</v>
      </c>
      <c r="B9" s="50"/>
      <c r="C9" s="50">
        <v>125000</v>
      </c>
      <c r="D9" s="50">
        <v>90000</v>
      </c>
      <c r="E9" s="50">
        <v>34000</v>
      </c>
      <c r="F9" s="50">
        <v>249000</v>
      </c>
    </row>
    <row r="10" spans="1:6" x14ac:dyDescent="0.25">
      <c r="A10" s="49" t="s">
        <v>142</v>
      </c>
      <c r="B10" s="50">
        <v>85000</v>
      </c>
      <c r="C10" s="50">
        <v>971000</v>
      </c>
      <c r="D10" s="50">
        <v>210000</v>
      </c>
      <c r="E10" s="50">
        <v>167000</v>
      </c>
      <c r="F10" s="50">
        <v>1433000</v>
      </c>
    </row>
    <row r="11" spans="1:6" x14ac:dyDescent="0.25">
      <c r="A11" s="49" t="s">
        <v>144</v>
      </c>
      <c r="B11" s="50"/>
      <c r="C11" s="50">
        <v>344000</v>
      </c>
      <c r="D11" s="50"/>
      <c r="E11" s="50"/>
      <c r="F11" s="50">
        <v>344000</v>
      </c>
    </row>
    <row r="12" spans="1:6" x14ac:dyDescent="0.25">
      <c r="A12" s="49" t="s">
        <v>145</v>
      </c>
      <c r="B12" s="50">
        <v>3455000</v>
      </c>
      <c r="C12" s="50"/>
      <c r="D12" s="50">
        <v>210000</v>
      </c>
      <c r="E12" s="50"/>
      <c r="F12" s="50">
        <v>3665000</v>
      </c>
    </row>
    <row r="13" spans="1:6" x14ac:dyDescent="0.25">
      <c r="A13" s="49" t="s">
        <v>211</v>
      </c>
      <c r="B13" s="50">
        <v>5002000</v>
      </c>
      <c r="C13" s="50">
        <v>4913000</v>
      </c>
      <c r="D13" s="50">
        <v>4340000</v>
      </c>
      <c r="E13" s="50">
        <v>3937500.0000000037</v>
      </c>
      <c r="F13" s="50">
        <v>18192500.000000004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45"/>
  <sheetViews>
    <sheetView tabSelected="1" workbookViewId="0">
      <selection activeCell="H7" sqref="H7"/>
    </sheetView>
  </sheetViews>
  <sheetFormatPr baseColWidth="10" defaultColWidth="11.42578125" defaultRowHeight="15" x14ac:dyDescent="0.25"/>
  <cols>
    <col min="1" max="1" width="17.7109375" style="37" bestFit="1" customWidth="1"/>
    <col min="2" max="2" width="15.7109375" style="37" bestFit="1" customWidth="1"/>
    <col min="3" max="3" width="18.5703125" style="37" bestFit="1" customWidth="1"/>
    <col min="4" max="4" width="14.28515625" style="37" bestFit="1" customWidth="1"/>
    <col min="5" max="5" width="13.5703125" style="37" bestFit="1" customWidth="1"/>
    <col min="6" max="6" width="14.28515625" style="37" bestFit="1" customWidth="1"/>
    <col min="7" max="9" width="11.42578125" style="37"/>
    <col min="10" max="10" width="13" style="37" bestFit="1" customWidth="1"/>
    <col min="11" max="11" width="11.42578125" style="37"/>
    <col min="12" max="12" width="15.28515625" style="37" bestFit="1" customWidth="1"/>
    <col min="13" max="14" width="12.85546875" style="37" bestFit="1" customWidth="1"/>
    <col min="15" max="16384" width="11.42578125" style="37"/>
  </cols>
  <sheetData>
    <row r="1" spans="1:14" ht="15.75" thickBot="1" x14ac:dyDescent="0.3">
      <c r="A1" s="37" t="s">
        <v>171</v>
      </c>
      <c r="I1"/>
      <c r="J1"/>
      <c r="K1"/>
      <c r="L1"/>
      <c r="M1"/>
      <c r="N1"/>
    </row>
    <row r="2" spans="1:14" ht="15.75" x14ac:dyDescent="0.25">
      <c r="I2"/>
      <c r="J2" s="56" t="s">
        <v>218</v>
      </c>
      <c r="K2" s="56"/>
      <c r="L2" s="61"/>
      <c r="M2" s="61"/>
      <c r="N2" s="61"/>
    </row>
    <row r="3" spans="1:14" ht="15.75" x14ac:dyDescent="0.25">
      <c r="A3" s="37" t="s">
        <v>172</v>
      </c>
      <c r="B3" s="38">
        <v>2500000</v>
      </c>
      <c r="I3"/>
      <c r="J3" s="55"/>
      <c r="K3" s="55"/>
      <c r="L3" s="62" t="s">
        <v>220</v>
      </c>
      <c r="M3" s="62" t="s">
        <v>216</v>
      </c>
      <c r="N3" s="62" t="s">
        <v>217</v>
      </c>
    </row>
    <row r="4" spans="1:14" x14ac:dyDescent="0.25">
      <c r="A4" s="37" t="s">
        <v>173</v>
      </c>
      <c r="B4" s="39">
        <v>3.5000000000000003E-2</v>
      </c>
      <c r="I4"/>
      <c r="J4" s="58"/>
      <c r="K4" s="58"/>
      <c r="L4" s="52"/>
      <c r="M4" s="64"/>
      <c r="N4" s="64"/>
    </row>
    <row r="5" spans="1:14" x14ac:dyDescent="0.25">
      <c r="A5" s="37" t="s">
        <v>207</v>
      </c>
      <c r="B5" s="37">
        <v>2</v>
      </c>
      <c r="I5"/>
      <c r="J5" s="59" t="s">
        <v>219</v>
      </c>
      <c r="K5" s="59"/>
      <c r="L5" s="57"/>
      <c r="M5" s="57"/>
      <c r="N5" s="57"/>
    </row>
    <row r="6" spans="1:14" x14ac:dyDescent="0.25">
      <c r="A6" s="37" t="s">
        <v>174</v>
      </c>
      <c r="B6" s="37">
        <v>10</v>
      </c>
      <c r="D6" s="51"/>
      <c r="I6"/>
      <c r="J6" s="58"/>
      <c r="K6" s="58" t="s">
        <v>214</v>
      </c>
      <c r="L6" s="53">
        <v>3.5000000000000003E-2</v>
      </c>
      <c r="M6" s="63">
        <v>0.05</v>
      </c>
      <c r="N6" s="63">
        <v>2.5000000000000001E-2</v>
      </c>
    </row>
    <row r="7" spans="1:14" x14ac:dyDescent="0.25">
      <c r="I7"/>
      <c r="J7" s="59" t="s">
        <v>221</v>
      </c>
      <c r="K7" s="59"/>
      <c r="L7" s="57"/>
      <c r="M7" s="57"/>
      <c r="N7" s="57"/>
    </row>
    <row r="8" spans="1:14" ht="15.75" thickBot="1" x14ac:dyDescent="0.3">
      <c r="A8" s="37" t="s">
        <v>208</v>
      </c>
      <c r="B8" s="40">
        <f>PMT(B4/B5,B6*B5,B3)</f>
        <v>-149228.0614016605</v>
      </c>
      <c r="I8"/>
      <c r="J8" s="60"/>
      <c r="K8" s="60" t="s">
        <v>215</v>
      </c>
      <c r="L8" s="54">
        <v>-149228.06140166</v>
      </c>
      <c r="M8" s="54">
        <v>-160367.82183618599</v>
      </c>
      <c r="N8" s="54">
        <v>-142050.97407951101</v>
      </c>
    </row>
    <row r="9" spans="1:14" x14ac:dyDescent="0.25">
      <c r="A9" s="41"/>
      <c r="B9" s="41"/>
      <c r="C9" s="41" t="s">
        <v>199</v>
      </c>
      <c r="D9" s="41" t="s">
        <v>177</v>
      </c>
      <c r="E9" s="41" t="s">
        <v>178</v>
      </c>
      <c r="F9" s="41" t="s">
        <v>175</v>
      </c>
      <c r="I9"/>
      <c r="J9" t="s">
        <v>222</v>
      </c>
      <c r="K9"/>
      <c r="L9"/>
      <c r="M9"/>
      <c r="N9"/>
    </row>
    <row r="10" spans="1:14" x14ac:dyDescent="0.25">
      <c r="A10" s="37" t="s">
        <v>176</v>
      </c>
      <c r="B10" s="37" t="s">
        <v>179</v>
      </c>
      <c r="C10" s="42">
        <f>B3</f>
        <v>2500000</v>
      </c>
      <c r="D10" s="40">
        <f>$B$8</f>
        <v>-149228.0614016605</v>
      </c>
      <c r="E10" s="42">
        <f>C10*$B$4/2</f>
        <v>43750.000000000007</v>
      </c>
      <c r="F10" s="40">
        <f>D10+E10</f>
        <v>-105478.0614016605</v>
      </c>
      <c r="I10"/>
      <c r="J10" t="s">
        <v>223</v>
      </c>
      <c r="K10"/>
      <c r="L10"/>
      <c r="M10"/>
      <c r="N10"/>
    </row>
    <row r="11" spans="1:14" x14ac:dyDescent="0.25">
      <c r="B11" s="37" t="s">
        <v>180</v>
      </c>
      <c r="C11" s="51">
        <f>C10+F10</f>
        <v>2394521.9385983394</v>
      </c>
      <c r="D11" s="40">
        <f t="shared" ref="D11:D29" si="0">$B$8</f>
        <v>-149228.0614016605</v>
      </c>
      <c r="E11" s="42">
        <f t="shared" ref="E11:E29" si="1">C11*$B$4/2</f>
        <v>41904.133925470946</v>
      </c>
      <c r="F11" s="40">
        <f t="shared" ref="F11:F29" si="2">D11+E11</f>
        <v>-107323.92747618955</v>
      </c>
      <c r="I11"/>
      <c r="J11" t="s">
        <v>224</v>
      </c>
      <c r="K11"/>
      <c r="L11"/>
      <c r="M11"/>
      <c r="N11"/>
    </row>
    <row r="12" spans="1:14" x14ac:dyDescent="0.25">
      <c r="B12" s="37" t="s">
        <v>181</v>
      </c>
      <c r="C12" s="51">
        <f t="shared" ref="C12:C29" si="3">C11+F11</f>
        <v>2287198.0111221499</v>
      </c>
      <c r="D12" s="40">
        <f t="shared" si="0"/>
        <v>-149228.0614016605</v>
      </c>
      <c r="E12" s="42">
        <f t="shared" si="1"/>
        <v>40025.965194637625</v>
      </c>
      <c r="F12" s="40">
        <f t="shared" si="2"/>
        <v>-109202.09620702287</v>
      </c>
      <c r="I12"/>
      <c r="J12"/>
      <c r="K12"/>
      <c r="L12"/>
      <c r="M12"/>
      <c r="N12"/>
    </row>
    <row r="13" spans="1:14" x14ac:dyDescent="0.25">
      <c r="B13" s="37" t="s">
        <v>182</v>
      </c>
      <c r="C13" s="51">
        <f t="shared" si="3"/>
        <v>2177995.9149151272</v>
      </c>
      <c r="D13" s="40">
        <f t="shared" si="0"/>
        <v>-149228.0614016605</v>
      </c>
      <c r="E13" s="42">
        <f t="shared" si="1"/>
        <v>38114.928511014732</v>
      </c>
      <c r="F13" s="40">
        <f t="shared" si="2"/>
        <v>-111113.13289064576</v>
      </c>
    </row>
    <row r="14" spans="1:14" x14ac:dyDescent="0.25">
      <c r="B14" s="37" t="s">
        <v>183</v>
      </c>
      <c r="C14" s="51">
        <f t="shared" si="3"/>
        <v>2066882.7820244813</v>
      </c>
      <c r="D14" s="40">
        <f t="shared" si="0"/>
        <v>-149228.0614016605</v>
      </c>
      <c r="E14" s="42">
        <f t="shared" si="1"/>
        <v>36170.448685428426</v>
      </c>
      <c r="F14" s="40">
        <f t="shared" si="2"/>
        <v>-113057.61271623208</v>
      </c>
    </row>
    <row r="15" spans="1:14" x14ac:dyDescent="0.25">
      <c r="B15" s="37" t="s">
        <v>184</v>
      </c>
      <c r="C15" s="51">
        <f t="shared" si="3"/>
        <v>1953825.1693082494</v>
      </c>
      <c r="D15" s="40">
        <f t="shared" si="0"/>
        <v>-149228.0614016605</v>
      </c>
      <c r="E15" s="42">
        <f t="shared" si="1"/>
        <v>34191.940462894367</v>
      </c>
      <c r="F15" s="40">
        <f t="shared" si="2"/>
        <v>-115036.12093876614</v>
      </c>
    </row>
    <row r="16" spans="1:14" x14ac:dyDescent="0.25">
      <c r="B16" s="37" t="s">
        <v>185</v>
      </c>
      <c r="C16" s="51">
        <f t="shared" si="3"/>
        <v>1838789.0483694833</v>
      </c>
      <c r="D16" s="40">
        <f t="shared" si="0"/>
        <v>-149228.0614016605</v>
      </c>
      <c r="E16" s="42">
        <f t="shared" si="1"/>
        <v>32178.808346465961</v>
      </c>
      <c r="F16" s="40">
        <f t="shared" si="2"/>
        <v>-117049.25305519454</v>
      </c>
    </row>
    <row r="17" spans="1:6" x14ac:dyDescent="0.25">
      <c r="B17" s="37" t="s">
        <v>186</v>
      </c>
      <c r="C17" s="51">
        <f t="shared" si="3"/>
        <v>1721739.7953142887</v>
      </c>
      <c r="D17" s="40">
        <f t="shared" si="0"/>
        <v>-149228.0614016605</v>
      </c>
      <c r="E17" s="42">
        <f t="shared" si="1"/>
        <v>30130.446418000054</v>
      </c>
      <c r="F17" s="40">
        <f t="shared" si="2"/>
        <v>-119097.61498366045</v>
      </c>
    </row>
    <row r="18" spans="1:6" x14ac:dyDescent="0.25">
      <c r="B18" s="37" t="s">
        <v>187</v>
      </c>
      <c r="C18" s="51">
        <f t="shared" si="3"/>
        <v>1602642.1803306283</v>
      </c>
      <c r="D18" s="40">
        <f t="shared" si="0"/>
        <v>-149228.0614016605</v>
      </c>
      <c r="E18" s="42">
        <f t="shared" si="1"/>
        <v>28046.238155785999</v>
      </c>
      <c r="F18" s="40">
        <f t="shared" si="2"/>
        <v>-121181.82324587449</v>
      </c>
    </row>
    <row r="19" spans="1:6" x14ac:dyDescent="0.25">
      <c r="B19" s="37" t="s">
        <v>188</v>
      </c>
      <c r="C19" s="51">
        <f t="shared" si="3"/>
        <v>1481460.3570847539</v>
      </c>
      <c r="D19" s="40">
        <f t="shared" si="0"/>
        <v>-149228.0614016605</v>
      </c>
      <c r="E19" s="42">
        <f t="shared" si="1"/>
        <v>25925.556248983197</v>
      </c>
      <c r="F19" s="40">
        <f t="shared" si="2"/>
        <v>-123302.5051526773</v>
      </c>
    </row>
    <row r="20" spans="1:6" x14ac:dyDescent="0.25">
      <c r="B20" s="37" t="s">
        <v>189</v>
      </c>
      <c r="C20" s="51">
        <f t="shared" si="3"/>
        <v>1358157.8519320767</v>
      </c>
      <c r="D20" s="40">
        <f t="shared" si="0"/>
        <v>-149228.0614016605</v>
      </c>
      <c r="E20" s="42">
        <f t="shared" si="1"/>
        <v>23767.762408811344</v>
      </c>
      <c r="F20" s="40">
        <f t="shared" si="2"/>
        <v>-125460.29899284916</v>
      </c>
    </row>
    <row r="21" spans="1:6" x14ac:dyDescent="0.25">
      <c r="B21" s="37" t="s">
        <v>190</v>
      </c>
      <c r="C21" s="51">
        <f t="shared" si="3"/>
        <v>1232697.5529392275</v>
      </c>
      <c r="D21" s="40">
        <f t="shared" si="0"/>
        <v>-149228.0614016605</v>
      </c>
      <c r="E21" s="42">
        <f t="shared" si="1"/>
        <v>21572.207176436485</v>
      </c>
      <c r="F21" s="40">
        <f t="shared" si="2"/>
        <v>-127655.85422522401</v>
      </c>
    </row>
    <row r="22" spans="1:6" x14ac:dyDescent="0.25">
      <c r="B22" s="37" t="s">
        <v>191</v>
      </c>
      <c r="C22" s="51">
        <f t="shared" si="3"/>
        <v>1105041.6987140034</v>
      </c>
      <c r="D22" s="40">
        <f t="shared" si="0"/>
        <v>-149228.0614016605</v>
      </c>
      <c r="E22" s="42">
        <f t="shared" si="1"/>
        <v>19338.229727495062</v>
      </c>
      <c r="F22" s="40">
        <f t="shared" si="2"/>
        <v>-129889.83167416544</v>
      </c>
    </row>
    <row r="23" spans="1:6" x14ac:dyDescent="0.25">
      <c r="B23" s="37" t="s">
        <v>192</v>
      </c>
      <c r="C23" s="51">
        <f t="shared" si="3"/>
        <v>975151.86703983799</v>
      </c>
      <c r="D23" s="40">
        <f t="shared" si="0"/>
        <v>-149228.0614016605</v>
      </c>
      <c r="E23" s="42">
        <f t="shared" si="1"/>
        <v>17065.157673197165</v>
      </c>
      <c r="F23" s="40">
        <f t="shared" si="2"/>
        <v>-132162.90372846334</v>
      </c>
    </row>
    <row r="24" spans="1:6" x14ac:dyDescent="0.25">
      <c r="B24" s="37" t="s">
        <v>193</v>
      </c>
      <c r="C24" s="51">
        <f t="shared" si="3"/>
        <v>842988.96331137465</v>
      </c>
      <c r="D24" s="40">
        <f t="shared" si="0"/>
        <v>-149228.0614016605</v>
      </c>
      <c r="E24" s="42">
        <f t="shared" si="1"/>
        <v>14752.306857949057</v>
      </c>
      <c r="F24" s="40">
        <f t="shared" si="2"/>
        <v>-134475.75454371143</v>
      </c>
    </row>
    <row r="25" spans="1:6" x14ac:dyDescent="0.25">
      <c r="B25" s="37" t="s">
        <v>194</v>
      </c>
      <c r="C25" s="51">
        <f t="shared" si="3"/>
        <v>708513.20876766322</v>
      </c>
      <c r="D25" s="40">
        <f t="shared" si="0"/>
        <v>-149228.0614016605</v>
      </c>
      <c r="E25" s="42">
        <f t="shared" si="1"/>
        <v>12398.981153434108</v>
      </c>
      <c r="F25" s="40">
        <f t="shared" si="2"/>
        <v>-136829.08024822638</v>
      </c>
    </row>
    <row r="26" spans="1:6" x14ac:dyDescent="0.25">
      <c r="B26" s="37" t="s">
        <v>195</v>
      </c>
      <c r="C26" s="51">
        <f t="shared" si="3"/>
        <v>571684.12851943681</v>
      </c>
      <c r="D26" s="40">
        <f t="shared" si="0"/>
        <v>-149228.0614016605</v>
      </c>
      <c r="E26" s="42">
        <f t="shared" si="1"/>
        <v>10004.472249090146</v>
      </c>
      <c r="F26" s="40">
        <f t="shared" si="2"/>
        <v>-139223.58915257035</v>
      </c>
    </row>
    <row r="27" spans="1:6" x14ac:dyDescent="0.25">
      <c r="B27" s="37" t="s">
        <v>196</v>
      </c>
      <c r="C27" s="51">
        <f t="shared" si="3"/>
        <v>432460.53936686646</v>
      </c>
      <c r="D27" s="40">
        <f t="shared" si="0"/>
        <v>-149228.0614016605</v>
      </c>
      <c r="E27" s="42">
        <f t="shared" si="1"/>
        <v>7568.0594389201642</v>
      </c>
      <c r="F27" s="40">
        <f t="shared" si="2"/>
        <v>-141660.00196274032</v>
      </c>
    </row>
    <row r="28" spans="1:6" x14ac:dyDescent="0.25">
      <c r="B28" s="37" t="s">
        <v>197</v>
      </c>
      <c r="C28" s="51">
        <f t="shared" si="3"/>
        <v>290800.53740412614</v>
      </c>
      <c r="D28" s="40">
        <f t="shared" si="0"/>
        <v>-149228.0614016605</v>
      </c>
      <c r="E28" s="42">
        <f t="shared" si="1"/>
        <v>5089.009404572208</v>
      </c>
      <c r="F28" s="40">
        <f t="shared" si="2"/>
        <v>-144139.05199708827</v>
      </c>
    </row>
    <row r="29" spans="1:6" x14ac:dyDescent="0.25">
      <c r="B29" s="37" t="s">
        <v>198</v>
      </c>
      <c r="C29" s="51">
        <f t="shared" si="3"/>
        <v>146661.48540703786</v>
      </c>
      <c r="D29" s="40">
        <f t="shared" si="0"/>
        <v>-149228.0614016605</v>
      </c>
      <c r="E29" s="42">
        <f t="shared" si="1"/>
        <v>2566.5759946231628</v>
      </c>
      <c r="F29" s="40">
        <f t="shared" si="2"/>
        <v>-146661.48540703734</v>
      </c>
    </row>
    <row r="30" spans="1:6" ht="15.75" thickBot="1" x14ac:dyDescent="0.3">
      <c r="A30" s="43" t="s">
        <v>200</v>
      </c>
      <c r="B30" s="43"/>
      <c r="C30" s="44"/>
      <c r="D30" s="45">
        <f>SUM(D10:D29)</f>
        <v>-2984561.2280332106</v>
      </c>
      <c r="E30" s="45">
        <f t="shared" ref="E30" si="4">SUM(E10:E29)</f>
        <v>484561.22803321021</v>
      </c>
      <c r="F30" s="45">
        <f>SUM(F10:F29)</f>
        <v>-2500000</v>
      </c>
    </row>
    <row r="31" spans="1:6" ht="15.75" thickTop="1" x14ac:dyDescent="0.25">
      <c r="C31" s="42"/>
      <c r="D31" s="40"/>
      <c r="E31" s="42"/>
      <c r="F31" s="40"/>
    </row>
    <row r="45" spans="1:1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</sheetData>
  <scenarios current="0" show="0" sqref="B8">
    <scenario name="Renteøkning" locked="1" count="1" user="Bert" comment="Opprettet av Øystein A. Wendelborg den 23.06.2017_x000a_Endret av Bert den 10.10.2017">
      <inputCells r="J4" val="0,05" numFmtId="10"/>
    </scenario>
    <scenario name="Rentekutt" locked="1" count="1" user="Bert" comment="Opprettet av Øystein A. Wendelborg den 23.06.2017_x000a_Endret av Bert den 10.10.2017">
      <inputCells r="J4" val="0,025" numFmtId="1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Faktura</vt:lpstr>
      <vt:lpstr>Rabatt</vt:lpstr>
      <vt:lpstr>Varer</vt:lpstr>
      <vt:lpstr>Kunder</vt:lpstr>
      <vt:lpstr>Resultater</vt:lpstr>
      <vt:lpstr>Diagram utvikling</vt:lpstr>
      <vt:lpstr>Kontrakter</vt:lpstr>
      <vt:lpstr>Piottabell kontraktansvarlig</vt:lpstr>
      <vt:lpstr>Pivottdiagram prosjektleder</vt:lpstr>
      <vt:lpstr>Annuitet</vt:lpstr>
    </vt:vector>
  </TitlesOfParts>
  <Company>HBV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A. Wendelborg</dc:creator>
  <cp:lastModifiedBy>Berten</cp:lastModifiedBy>
  <dcterms:created xsi:type="dcterms:W3CDTF">2016-07-12T08:38:37Z</dcterms:created>
  <dcterms:modified xsi:type="dcterms:W3CDTF">2017-10-13T09:42:36Z</dcterms:modified>
</cp:coreProperties>
</file>